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2985" windowWidth="14370" windowHeight="5745"/>
  </bookViews>
  <sheets>
    <sheet name="Calculation" sheetId="1" r:id="rId1"/>
    <sheet name="History" sheetId="2" r:id="rId2"/>
    <sheet name="Foglio3" sheetId="3" r:id="rId3"/>
    <sheet name="Foglio1" sheetId="4" r:id="rId4"/>
  </sheets>
  <calcPr calcId="145621"/>
</workbook>
</file>

<file path=xl/calcChain.xml><?xml version="1.0" encoding="utf-8"?>
<calcChain xmlns="http://schemas.openxmlformats.org/spreadsheetml/2006/main">
  <c r="AO18" i="1" l="1"/>
  <c r="AM18" i="1"/>
  <c r="AK18" i="1"/>
  <c r="AO17" i="1"/>
  <c r="AM17" i="1"/>
  <c r="AK17" i="1"/>
  <c r="AE17" i="1"/>
  <c r="AG17" i="1"/>
  <c r="AI17" i="1"/>
  <c r="AT14" i="1" l="1"/>
  <c r="AR14" i="1"/>
  <c r="AP14" i="1"/>
  <c r="AN14" i="1"/>
  <c r="AL14" i="1"/>
  <c r="AJ14" i="1"/>
  <c r="AH14" i="1"/>
  <c r="AF14" i="1"/>
  <c r="V1" i="1"/>
  <c r="U1" i="1"/>
  <c r="W1" i="1"/>
  <c r="AS22" i="1" l="1"/>
  <c r="AQ22" i="1"/>
  <c r="AQ19" i="1"/>
  <c r="AS19" i="1"/>
  <c r="AP15" i="1" l="1"/>
  <c r="AO15" i="1"/>
  <c r="AO27" i="1" s="1"/>
  <c r="AO14" i="1"/>
  <c r="AO19" i="1" l="1"/>
  <c r="AO24" i="1" s="1"/>
  <c r="AT22" i="1"/>
  <c r="AS20" i="1"/>
  <c r="AR22" i="1"/>
  <c r="AQ20" i="1"/>
  <c r="AO20" i="1"/>
  <c r="AM20" i="1"/>
  <c r="AK20" i="1"/>
  <c r="AI20" i="1"/>
  <c r="AG20" i="1"/>
  <c r="AE20" i="1"/>
  <c r="AR15" i="1"/>
  <c r="AQ15" i="1"/>
  <c r="AQ27" i="1" s="1"/>
  <c r="AN15" i="1"/>
  <c r="AM15" i="1"/>
  <c r="AM27" i="1" s="1"/>
  <c r="AL15" i="1"/>
  <c r="AK15" i="1"/>
  <c r="AJ15" i="1"/>
  <c r="AI15" i="1"/>
  <c r="AH15" i="1"/>
  <c r="AG15" i="1"/>
  <c r="AG27" i="1" s="1"/>
  <c r="AF15" i="1"/>
  <c r="AE15" i="1"/>
  <c r="AE27" i="1" s="1"/>
  <c r="AM14" i="1"/>
  <c r="AQ14" i="1"/>
  <c r="AS14" i="1"/>
  <c r="AS15" i="1"/>
  <c r="AT15" i="1"/>
  <c r="AK14" i="1"/>
  <c r="AI14" i="1"/>
  <c r="AG14" i="1"/>
  <c r="AE14" i="1"/>
  <c r="AI27" i="1" l="1"/>
  <c r="AO22" i="1"/>
  <c r="AP22" i="1" s="1"/>
  <c r="AM19" i="1"/>
  <c r="AS27" i="1"/>
  <c r="AS25" i="1"/>
  <c r="AS23" i="1" s="1"/>
  <c r="AS26" i="1" s="1"/>
  <c r="AS24" i="1"/>
  <c r="AK27" i="1"/>
  <c r="AQ24" i="1"/>
  <c r="AQ25" i="1"/>
  <c r="AQ23" i="1" s="1"/>
  <c r="AQ26" i="1" s="1"/>
  <c r="AO25" i="1"/>
  <c r="AO23" i="1" s="1"/>
  <c r="AM22" i="1"/>
  <c r="AG22" i="1"/>
  <c r="AG19" i="1"/>
  <c r="AO26" i="1" l="1"/>
  <c r="AN22" i="1"/>
  <c r="AH22" i="1"/>
  <c r="AM25" i="1"/>
  <c r="AM23" i="1" s="1"/>
  <c r="AM24" i="1"/>
  <c r="AK19" i="1"/>
  <c r="AK22" i="1"/>
  <c r="AI22" i="1"/>
  <c r="AI19" i="1"/>
  <c r="AG24" i="1"/>
  <c r="AG25" i="1"/>
  <c r="AG23" i="1" s="1"/>
  <c r="AG18" i="1" s="1"/>
  <c r="AE19" i="1"/>
  <c r="AE22" i="1"/>
  <c r="AM26" i="1" l="1"/>
  <c r="AG26" i="1"/>
  <c r="AL22" i="1"/>
  <c r="AJ22" i="1"/>
  <c r="AK25" i="1"/>
  <c r="AK23" i="1" s="1"/>
  <c r="AK24" i="1"/>
  <c r="AI24" i="1"/>
  <c r="AI25" i="1"/>
  <c r="AI23" i="1" s="1"/>
  <c r="AI18" i="1" s="1"/>
  <c r="AF22" i="1"/>
  <c r="AE24" i="1"/>
  <c r="AE25" i="1"/>
  <c r="AE23" i="1" s="1"/>
  <c r="AE18" i="1" s="1"/>
  <c r="AK26" i="1" l="1"/>
  <c r="AI26" i="1"/>
  <c r="AE26" i="1"/>
  <c r="S20" i="1"/>
  <c r="AC14" i="1"/>
  <c r="AB14" i="1"/>
  <c r="U25" i="1"/>
  <c r="S19" i="1" s="1"/>
  <c r="AT68" i="1"/>
  <c r="AT94" i="1" s="1"/>
  <c r="AS68" i="1"/>
  <c r="AS93" i="1" s="1"/>
  <c r="AR68" i="1"/>
  <c r="AR87" i="1" s="1"/>
  <c r="AQ68" i="1"/>
  <c r="AQ92" i="1" s="1"/>
  <c r="AP68" i="1"/>
  <c r="AP87" i="1" s="1"/>
  <c r="AO68" i="1"/>
  <c r="AO84" i="1" s="1"/>
  <c r="AN68" i="1"/>
  <c r="AN87" i="1" s="1"/>
  <c r="AM68" i="1"/>
  <c r="AM82" i="1" s="1"/>
  <c r="AL68" i="1"/>
  <c r="AL81" i="1" s="1"/>
  <c r="AK68" i="1"/>
  <c r="AK82" i="1" s="1"/>
  <c r="R9" i="1"/>
  <c r="AB20" i="1"/>
  <c r="Z20" i="1"/>
  <c r="AL78" i="1" l="1"/>
  <c r="AS82" i="1"/>
  <c r="AT82" i="1"/>
  <c r="AS78" i="1"/>
  <c r="AT88" i="1"/>
  <c r="AL84" i="1"/>
  <c r="AT78" i="1"/>
  <c r="AT91" i="1"/>
  <c r="AL72" i="1"/>
  <c r="AT97" i="1"/>
  <c r="AT92" i="1"/>
  <c r="AO91" i="1"/>
  <c r="AT72" i="1"/>
  <c r="AT80" i="1"/>
  <c r="AT89" i="1"/>
  <c r="AP89" i="1"/>
  <c r="AN85" i="1"/>
  <c r="AS80" i="1"/>
  <c r="AR94" i="1"/>
  <c r="AP86" i="1"/>
  <c r="AN88" i="1"/>
  <c r="AP93" i="1"/>
  <c r="AT100" i="1"/>
  <c r="AL80" i="1"/>
  <c r="AO72" i="1"/>
  <c r="AO78" i="1"/>
  <c r="AO80" i="1"/>
  <c r="AO82" i="1"/>
  <c r="AS83" i="1"/>
  <c r="AK80" i="1"/>
  <c r="AO86" i="1"/>
  <c r="AT95" i="1"/>
  <c r="AS91" i="1"/>
  <c r="AO83" i="1"/>
  <c r="AP72" i="1"/>
  <c r="AP78" i="1"/>
  <c r="AP80" i="1"/>
  <c r="AP82" i="1"/>
  <c r="AS88" i="1"/>
  <c r="AP92" i="1"/>
  <c r="AR97" i="1"/>
  <c r="AL82" i="1"/>
  <c r="AP91" i="1"/>
  <c r="AS97" i="1"/>
  <c r="AT99" i="1"/>
  <c r="AT93" i="1"/>
  <c r="AR91" i="1"/>
  <c r="AS100" i="1"/>
  <c r="AS96" i="1"/>
  <c r="AK81" i="1"/>
  <c r="AO87" i="1"/>
  <c r="AP88" i="1"/>
  <c r="AT101" i="1"/>
  <c r="AT96" i="1"/>
  <c r="AS92" i="1"/>
  <c r="AP85" i="1"/>
  <c r="T18" i="1"/>
  <c r="S22" i="1"/>
  <c r="U20" i="1"/>
  <c r="U22" i="1"/>
  <c r="AQ95" i="1"/>
  <c r="AM84" i="1"/>
  <c r="AQ90" i="1"/>
  <c r="AR93" i="1"/>
  <c r="AR90" i="1"/>
  <c r="AQ88" i="1"/>
  <c r="AN84" i="1"/>
  <c r="AS101" i="1"/>
  <c r="AM83" i="1"/>
  <c r="AR96" i="1"/>
  <c r="AS99" i="1"/>
  <c r="AS95" i="1"/>
  <c r="AS94" i="1"/>
  <c r="AS90" i="1"/>
  <c r="AR89" i="1"/>
  <c r="AQ87" i="1"/>
  <c r="AO85" i="1"/>
  <c r="AN83" i="1"/>
  <c r="AQ91" i="1"/>
  <c r="AQ89" i="1"/>
  <c r="AM81" i="1"/>
  <c r="AQ96" i="1"/>
  <c r="AQ93" i="1"/>
  <c r="AK72" i="1"/>
  <c r="AS72" i="1"/>
  <c r="AS87" i="1"/>
  <c r="AO90" i="1"/>
  <c r="AR98" i="1"/>
  <c r="AR99" i="1"/>
  <c r="AN86" i="1"/>
  <c r="AO88" i="1"/>
  <c r="AP90" i="1"/>
  <c r="AR95" i="1"/>
  <c r="AS98" i="1"/>
  <c r="AT102" i="1"/>
  <c r="AT98" i="1"/>
  <c r="AR92" i="1"/>
  <c r="AR88" i="1"/>
  <c r="AR83" i="1"/>
  <c r="AK78" i="1"/>
  <c r="AM73" i="1"/>
  <c r="AQ73" i="1"/>
  <c r="AM79" i="1"/>
  <c r="AQ79" i="1"/>
  <c r="AQ81" i="1"/>
  <c r="AM85" i="1"/>
  <c r="AM86" i="1"/>
  <c r="AN73" i="1"/>
  <c r="AR73" i="1"/>
  <c r="AN79" i="1"/>
  <c r="AR79" i="1"/>
  <c r="AN81" i="1"/>
  <c r="AR81" i="1"/>
  <c r="AM72" i="1"/>
  <c r="AQ72" i="1"/>
  <c r="AK73" i="1"/>
  <c r="AO73" i="1"/>
  <c r="AS73" i="1"/>
  <c r="AM78" i="1"/>
  <c r="AQ78" i="1"/>
  <c r="AK79" i="1"/>
  <c r="AO79" i="1"/>
  <c r="AS79" i="1"/>
  <c r="AM80" i="1"/>
  <c r="AQ80" i="1"/>
  <c r="AO81" i="1"/>
  <c r="AS81" i="1"/>
  <c r="AQ82" i="1"/>
  <c r="AL83" i="1"/>
  <c r="AP83" i="1"/>
  <c r="AT83" i="1"/>
  <c r="AS84" i="1"/>
  <c r="AS85" i="1"/>
  <c r="AS86" i="1"/>
  <c r="AT87" i="1"/>
  <c r="AN89" i="1"/>
  <c r="AT90" i="1"/>
  <c r="AQ94" i="1"/>
  <c r="AQ84" i="1"/>
  <c r="AQ85" i="1"/>
  <c r="AQ86" i="1"/>
  <c r="AR84" i="1"/>
  <c r="AR85" i="1"/>
  <c r="AR86" i="1"/>
  <c r="AN72" i="1"/>
  <c r="AR72" i="1"/>
  <c r="AL73" i="1"/>
  <c r="AP73" i="1"/>
  <c r="AT73" i="1"/>
  <c r="AN78" i="1"/>
  <c r="AR78" i="1"/>
  <c r="AL79" i="1"/>
  <c r="AP79" i="1"/>
  <c r="AT79" i="1"/>
  <c r="AN80" i="1"/>
  <c r="AR80" i="1"/>
  <c r="AP81" i="1"/>
  <c r="AT81" i="1"/>
  <c r="AN82" i="1"/>
  <c r="AR82" i="1"/>
  <c r="AQ83" i="1"/>
  <c r="AP84" i="1"/>
  <c r="AT84" i="1"/>
  <c r="AT85" i="1"/>
  <c r="AT86" i="1"/>
  <c r="AO89" i="1"/>
  <c r="AS89" i="1"/>
  <c r="T22" i="1" l="1"/>
  <c r="AB15" i="1" l="1"/>
  <c r="AC15" i="1"/>
  <c r="AB17" i="1"/>
  <c r="T1" i="1"/>
  <c r="AB27" i="1" l="1"/>
  <c r="S25" i="1"/>
  <c r="S23" i="1" s="1"/>
  <c r="S26" i="1" s="1"/>
  <c r="S27" i="1" s="1"/>
  <c r="AI68" i="1"/>
  <c r="AI97" i="1" s="1"/>
  <c r="AH68" i="1"/>
  <c r="AH72" i="1" s="1"/>
  <c r="AG68" i="1"/>
  <c r="AG102" i="1" s="1"/>
  <c r="AF68" i="1"/>
  <c r="AF93" i="1" s="1"/>
  <c r="AE68" i="1"/>
  <c r="AE96" i="1" s="1"/>
  <c r="AD68" i="1"/>
  <c r="AD72" i="1" s="1"/>
  <c r="AC68" i="1"/>
  <c r="AC73" i="1" s="1"/>
  <c r="AB68" i="1"/>
  <c r="AB72" i="1" s="1"/>
  <c r="AA68" i="1"/>
  <c r="AA73" i="1" s="1"/>
  <c r="Z68" i="1"/>
  <c r="Z72" i="1" s="1"/>
  <c r="Y68" i="1"/>
  <c r="Y73" i="1" s="1"/>
  <c r="X68" i="1"/>
  <c r="X72" i="1" s="1"/>
  <c r="W68" i="1"/>
  <c r="W81" i="1" s="1"/>
  <c r="V68" i="1"/>
  <c r="V72" i="1" s="1"/>
  <c r="T68" i="1"/>
  <c r="T89" i="1" s="1"/>
  <c r="S68" i="1"/>
  <c r="S72" i="1" s="1"/>
  <c r="R68" i="1"/>
  <c r="R73" i="1" s="1"/>
  <c r="Q68" i="1"/>
  <c r="Q72" i="1" s="1"/>
  <c r="P68" i="1"/>
  <c r="P72" i="1" s="1"/>
  <c r="O68" i="1"/>
  <c r="O72" i="1" s="1"/>
  <c r="N68" i="1"/>
  <c r="N73" i="1" s="1"/>
  <c r="M68" i="1"/>
  <c r="M72" i="1" s="1"/>
  <c r="L68" i="1"/>
  <c r="L72" i="1" s="1"/>
  <c r="K68" i="1"/>
  <c r="K72" i="1" s="1"/>
  <c r="J68" i="1"/>
  <c r="J73" i="1" s="1"/>
  <c r="I68" i="1"/>
  <c r="I73" i="1" s="1"/>
  <c r="H68" i="1"/>
  <c r="H72" i="1" s="1"/>
  <c r="G68" i="1"/>
  <c r="G72" i="1" s="1"/>
  <c r="AI102" i="1"/>
  <c r="AT34" i="1"/>
  <c r="AT59" i="1" s="1"/>
  <c r="AT35" i="1"/>
  <c r="AT36" i="1"/>
  <c r="AT37" i="1"/>
  <c r="AT46" i="1" s="1"/>
  <c r="AB19" i="1" l="1"/>
  <c r="AB22" i="1"/>
  <c r="Z19" i="1"/>
  <c r="Z22" i="1"/>
  <c r="U19" i="1"/>
  <c r="Q73" i="1"/>
  <c r="I72" i="1"/>
  <c r="T85" i="1"/>
  <c r="AD73" i="1"/>
  <c r="G73" i="1"/>
  <c r="AI92" i="1"/>
  <c r="AB73" i="1"/>
  <c r="AI100" i="1"/>
  <c r="T95" i="1"/>
  <c r="AG72" i="1"/>
  <c r="AG95" i="1"/>
  <c r="T93" i="1"/>
  <c r="Q91" i="1"/>
  <c r="P73" i="1"/>
  <c r="H73" i="1"/>
  <c r="V73" i="1"/>
  <c r="AC72" i="1"/>
  <c r="AH100" i="1"/>
  <c r="T101" i="1"/>
  <c r="T97" i="1"/>
  <c r="M73" i="1"/>
  <c r="AH73" i="1"/>
  <c r="Z73" i="1"/>
  <c r="Y72" i="1"/>
  <c r="T81" i="1"/>
  <c r="AI84" i="1"/>
  <c r="P86" i="1"/>
  <c r="T73" i="1"/>
  <c r="L73" i="1"/>
  <c r="AF73" i="1"/>
  <c r="X73" i="1"/>
  <c r="Y82" i="1"/>
  <c r="N72" i="1"/>
  <c r="AT49" i="1"/>
  <c r="AT62" i="1"/>
  <c r="R93" i="1"/>
  <c r="AE73" i="1"/>
  <c r="AE91" i="1"/>
  <c r="AI80" i="1"/>
  <c r="AI96" i="1"/>
  <c r="R89" i="1"/>
  <c r="S73" i="1"/>
  <c r="O73" i="1"/>
  <c r="K73" i="1"/>
  <c r="T72" i="1"/>
  <c r="AI72" i="1"/>
  <c r="AE72" i="1"/>
  <c r="AA72" i="1"/>
  <c r="W72" i="1"/>
  <c r="AT57" i="1"/>
  <c r="R72" i="1"/>
  <c r="J72" i="1"/>
  <c r="AI85" i="1"/>
  <c r="AI93" i="1"/>
  <c r="AI99" i="1"/>
  <c r="AI73" i="1"/>
  <c r="W73" i="1"/>
  <c r="AF72" i="1"/>
  <c r="AT48" i="1"/>
  <c r="AI88" i="1"/>
  <c r="AT61" i="1"/>
  <c r="AI101" i="1"/>
  <c r="AT45" i="1"/>
  <c r="AI81" i="1"/>
  <c r="AI89" i="1"/>
  <c r="AT58" i="1"/>
  <c r="AF101" i="1"/>
  <c r="S92" i="1"/>
  <c r="AG73" i="1"/>
  <c r="AG101" i="1"/>
  <c r="T82" i="1"/>
  <c r="T90" i="1"/>
  <c r="T98" i="1"/>
  <c r="AT47" i="1"/>
  <c r="T79" i="1"/>
  <c r="T83" i="1"/>
  <c r="T87" i="1"/>
  <c r="T91" i="1"/>
  <c r="T100" i="1"/>
  <c r="AT60" i="1"/>
  <c r="T102" i="1"/>
  <c r="T78" i="1"/>
  <c r="T86" i="1"/>
  <c r="T94" i="1"/>
  <c r="AT44" i="1"/>
  <c r="T80" i="1"/>
  <c r="T84" i="1"/>
  <c r="T88" i="1"/>
  <c r="T92" i="1"/>
  <c r="T96" i="1"/>
  <c r="T99" i="1"/>
  <c r="AI78" i="1"/>
  <c r="AI82" i="1"/>
  <c r="AI86" i="1"/>
  <c r="AI90" i="1"/>
  <c r="AI94" i="1"/>
  <c r="AI98" i="1"/>
  <c r="AI79" i="1"/>
  <c r="AI83" i="1"/>
  <c r="AI87" i="1"/>
  <c r="AI91" i="1"/>
  <c r="AI95" i="1"/>
  <c r="AA22" i="1" l="1"/>
  <c r="Z25" i="1"/>
  <c r="Z23" i="1" s="1"/>
  <c r="Z26" i="1" s="1"/>
  <c r="Z24" i="1"/>
  <c r="AC22" i="1"/>
  <c r="AB25" i="1"/>
  <c r="AB23" i="1" s="1"/>
  <c r="AB18" i="1" s="1"/>
  <c r="AB24" i="1"/>
  <c r="S24" i="1"/>
  <c r="AC63" i="1"/>
  <c r="W63" i="1"/>
  <c r="N63" i="1"/>
  <c r="T63" i="1"/>
  <c r="AB26" i="1" l="1"/>
  <c r="W34" i="1"/>
  <c r="W38" i="1" s="1"/>
  <c r="W33" i="1"/>
  <c r="W37" i="1" s="1"/>
  <c r="W32" i="1"/>
  <c r="W36" i="1" s="1"/>
  <c r="Y46" i="1" l="1"/>
  <c r="Y43" i="1"/>
  <c r="Y47" i="1"/>
  <c r="Y44" i="1"/>
  <c r="Y45" i="1"/>
  <c r="Y42" i="1"/>
  <c r="Q33" i="1"/>
  <c r="Q37" i="1" s="1"/>
  <c r="Y52" i="1"/>
  <c r="Y54" i="1"/>
  <c r="Y49" i="1"/>
  <c r="Y51" i="1"/>
  <c r="Y53" i="1"/>
  <c r="Y50" i="1"/>
  <c r="Q34" i="1"/>
  <c r="Q38" i="1" s="1"/>
  <c r="Y58" i="1"/>
  <c r="Y60" i="1"/>
  <c r="Y56" i="1"/>
  <c r="Y57" i="1"/>
  <c r="Y59" i="1"/>
  <c r="Y61" i="1"/>
  <c r="Q32" i="1"/>
  <c r="Q36" i="1" s="1"/>
  <c r="P51" i="1" l="1"/>
  <c r="P49" i="1"/>
  <c r="P52" i="1"/>
  <c r="P53" i="1"/>
  <c r="P50" i="1"/>
  <c r="P54" i="1"/>
  <c r="P60" i="1"/>
  <c r="P57" i="1"/>
  <c r="P61" i="1"/>
  <c r="P58" i="1"/>
  <c r="P56" i="1"/>
  <c r="P59" i="1"/>
  <c r="P45" i="1"/>
  <c r="P46" i="1"/>
  <c r="P43" i="1"/>
  <c r="P47" i="1"/>
  <c r="P44" i="1"/>
  <c r="P42" i="1"/>
  <c r="AA54" i="1"/>
  <c r="AC54" i="1" s="1"/>
  <c r="W54" i="1"/>
  <c r="AA47" i="1"/>
  <c r="AC47" i="1" s="1"/>
  <c r="W47" i="1"/>
  <c r="AA44" i="1"/>
  <c r="AC44" i="1" s="1"/>
  <c r="W44" i="1"/>
  <c r="AA61" i="1"/>
  <c r="AC61" i="1" s="1"/>
  <c r="W61" i="1"/>
  <c r="AA60" i="1"/>
  <c r="AC60" i="1" s="1"/>
  <c r="W60" i="1"/>
  <c r="AA53" i="1"/>
  <c r="AC53" i="1" s="1"/>
  <c r="W53" i="1"/>
  <c r="AA52" i="1"/>
  <c r="AC52" i="1" s="1"/>
  <c r="W52" i="1"/>
  <c r="AA42" i="1"/>
  <c r="AC42" i="1" s="1"/>
  <c r="W42" i="1"/>
  <c r="AA59" i="1"/>
  <c r="AC59" i="1" s="1"/>
  <c r="W59" i="1"/>
  <c r="AA58" i="1"/>
  <c r="AC58" i="1" s="1"/>
  <c r="W58" i="1"/>
  <c r="AA51" i="1"/>
  <c r="AC51" i="1" s="1"/>
  <c r="W51" i="1"/>
  <c r="W45" i="1"/>
  <c r="AA45" i="1"/>
  <c r="AC45" i="1" s="1"/>
  <c r="AA57" i="1"/>
  <c r="AC57" i="1" s="1"/>
  <c r="W57" i="1"/>
  <c r="W49" i="1"/>
  <c r="AA49" i="1"/>
  <c r="AC49" i="1" s="1"/>
  <c r="W46" i="1"/>
  <c r="AA46" i="1"/>
  <c r="AC46" i="1" s="1"/>
  <c r="AA43" i="1"/>
  <c r="AC43" i="1" s="1"/>
  <c r="W43" i="1"/>
  <c r="AA56" i="1"/>
  <c r="AC56" i="1" s="1"/>
  <c r="W56" i="1"/>
  <c r="AA50" i="1"/>
  <c r="AC50" i="1" s="1"/>
  <c r="W50" i="1"/>
  <c r="R43" i="1" l="1"/>
  <c r="T43" i="1" s="1"/>
  <c r="N43" i="1"/>
  <c r="N56" i="1"/>
  <c r="R56" i="1"/>
  <c r="T56" i="1" s="1"/>
  <c r="N60" i="1"/>
  <c r="R60" i="1"/>
  <c r="T60" i="1" s="1"/>
  <c r="N53" i="1"/>
  <c r="R53" i="1"/>
  <c r="T53" i="1" s="1"/>
  <c r="N42" i="1"/>
  <c r="R42" i="1"/>
  <c r="T42" i="1" s="1"/>
  <c r="N46" i="1"/>
  <c r="R46" i="1"/>
  <c r="T46" i="1" s="1"/>
  <c r="N58" i="1"/>
  <c r="R58" i="1"/>
  <c r="T58" i="1" s="1"/>
  <c r="R52" i="1"/>
  <c r="T52" i="1" s="1"/>
  <c r="N52" i="1"/>
  <c r="N44" i="1"/>
  <c r="R44" i="1"/>
  <c r="T44" i="1" s="1"/>
  <c r="N45" i="1"/>
  <c r="R45" i="1"/>
  <c r="T45" i="1" s="1"/>
  <c r="N61" i="1"/>
  <c r="R61" i="1"/>
  <c r="T61" i="1" s="1"/>
  <c r="N54" i="1"/>
  <c r="R54" i="1"/>
  <c r="T54" i="1" s="1"/>
  <c r="N49" i="1"/>
  <c r="R49" i="1"/>
  <c r="T49" i="1" s="1"/>
  <c r="R47" i="1"/>
  <c r="T47" i="1" s="1"/>
  <c r="N47" i="1"/>
  <c r="N59" i="1"/>
  <c r="R59" i="1"/>
  <c r="T59" i="1" s="1"/>
  <c r="R57" i="1"/>
  <c r="T57" i="1" s="1"/>
  <c r="N57" i="1"/>
  <c r="N50" i="1"/>
  <c r="R50" i="1"/>
  <c r="T50" i="1" s="1"/>
  <c r="N51" i="1"/>
  <c r="R51" i="1"/>
  <c r="T51" i="1" s="1"/>
  <c r="AG100" i="1"/>
  <c r="AF86" i="1"/>
  <c r="AE87" i="1"/>
  <c r="AD92" i="1"/>
  <c r="AB87" i="1"/>
  <c r="Z85" i="1"/>
  <c r="Y89" i="1"/>
  <c r="X83" i="1"/>
  <c r="V82" i="1"/>
  <c r="S89" i="1"/>
  <c r="R81" i="1"/>
  <c r="P88" i="1"/>
  <c r="O92" i="1"/>
  <c r="N80" i="1"/>
  <c r="M87" i="1"/>
  <c r="H81" i="1"/>
  <c r="AS37" i="1"/>
  <c r="AR37" i="1"/>
  <c r="AQ37" i="1"/>
  <c r="AP37" i="1"/>
  <c r="AO37" i="1"/>
  <c r="AN37" i="1"/>
  <c r="AM37" i="1"/>
  <c r="AL37" i="1"/>
  <c r="AK37" i="1"/>
  <c r="AJ37" i="1"/>
  <c r="AI37" i="1"/>
  <c r="AH37" i="1"/>
  <c r="AG37" i="1"/>
  <c r="AS36" i="1"/>
  <c r="AR36" i="1"/>
  <c r="AQ36" i="1"/>
  <c r="AP36" i="1"/>
  <c r="AO36" i="1"/>
  <c r="AN36" i="1"/>
  <c r="AM36" i="1"/>
  <c r="AL36" i="1"/>
  <c r="AK36" i="1"/>
  <c r="AJ36" i="1"/>
  <c r="AI36" i="1"/>
  <c r="AH36" i="1"/>
  <c r="AG36" i="1"/>
  <c r="AS35" i="1"/>
  <c r="AR35" i="1"/>
  <c r="AQ35" i="1"/>
  <c r="AP35" i="1"/>
  <c r="AO35" i="1"/>
  <c r="AN35" i="1"/>
  <c r="AM35" i="1"/>
  <c r="AL35" i="1"/>
  <c r="AK35" i="1"/>
  <c r="AJ35" i="1"/>
  <c r="AI35" i="1"/>
  <c r="AH35" i="1"/>
  <c r="AG35" i="1"/>
  <c r="AS34" i="1"/>
  <c r="AR34" i="1"/>
  <c r="AQ34" i="1"/>
  <c r="AP34" i="1"/>
  <c r="AO34" i="1"/>
  <c r="AN34" i="1"/>
  <c r="AM34" i="1"/>
  <c r="AL34" i="1"/>
  <c r="AK34" i="1"/>
  <c r="AJ34" i="1"/>
  <c r="AI34" i="1"/>
  <c r="AH34" i="1"/>
  <c r="AG34" i="1"/>
  <c r="AH90" i="1" l="1"/>
  <c r="AH102" i="1"/>
  <c r="AH101" i="1"/>
  <c r="AG94" i="1"/>
  <c r="O78" i="1"/>
  <c r="O87" i="1"/>
  <c r="AG80" i="1"/>
  <c r="Y83" i="1"/>
  <c r="Y85" i="1"/>
  <c r="K84" i="1"/>
  <c r="AK62" i="1"/>
  <c r="AK60" i="1"/>
  <c r="AS59" i="1"/>
  <c r="AS60" i="1"/>
  <c r="AK46" i="1"/>
  <c r="AK47" i="1"/>
  <c r="AS48" i="1"/>
  <c r="AS47" i="1"/>
  <c r="AL62" i="1"/>
  <c r="AL60" i="1"/>
  <c r="AJ61" i="1"/>
  <c r="AJ60" i="1"/>
  <c r="AN61" i="1"/>
  <c r="AN60" i="1"/>
  <c r="AR61" i="1"/>
  <c r="AR60" i="1"/>
  <c r="AJ46" i="1"/>
  <c r="AJ47" i="1"/>
  <c r="AN46" i="1"/>
  <c r="AN47" i="1"/>
  <c r="AR49" i="1"/>
  <c r="AR47" i="1"/>
  <c r="G78" i="1"/>
  <c r="G80" i="1"/>
  <c r="AF80" i="1"/>
  <c r="AC83" i="1"/>
  <c r="X85" i="1"/>
  <c r="AG86" i="1"/>
  <c r="AF88" i="1"/>
  <c r="AC94" i="1"/>
  <c r="AG59" i="1"/>
  <c r="AG60" i="1"/>
  <c r="AO57" i="1"/>
  <c r="AO60" i="1"/>
  <c r="AG46" i="1"/>
  <c r="AG47" i="1"/>
  <c r="AO48" i="1"/>
  <c r="AO47" i="1"/>
  <c r="AH62" i="1"/>
  <c r="AH60" i="1"/>
  <c r="AP62" i="1"/>
  <c r="AP60" i="1"/>
  <c r="AH49" i="1"/>
  <c r="AH47" i="1"/>
  <c r="AL46" i="1"/>
  <c r="AL47" i="1"/>
  <c r="AP44" i="1"/>
  <c r="AP47" i="1"/>
  <c r="Y78" i="1"/>
  <c r="O80" i="1"/>
  <c r="AB81" i="1"/>
  <c r="Y84" i="1"/>
  <c r="Y86" i="1"/>
  <c r="AC89" i="1"/>
  <c r="S96" i="1"/>
  <c r="AI61" i="1"/>
  <c r="AI60" i="1"/>
  <c r="AM59" i="1"/>
  <c r="AM60" i="1"/>
  <c r="AQ59" i="1"/>
  <c r="AQ60" i="1"/>
  <c r="AI49" i="1"/>
  <c r="AI47" i="1"/>
  <c r="AM49" i="1"/>
  <c r="AM47" i="1"/>
  <c r="AQ49" i="1"/>
  <c r="AQ47" i="1"/>
  <c r="AG78" i="1"/>
  <c r="Y80" i="1"/>
  <c r="AF82" i="1"/>
  <c r="AC84" i="1"/>
  <c r="AC88" i="1"/>
  <c r="S90" i="1"/>
  <c r="AG96" i="1"/>
  <c r="AM62" i="1"/>
  <c r="AN58" i="1"/>
  <c r="AK49" i="1"/>
  <c r="AK45" i="1"/>
  <c r="AS45" i="1"/>
  <c r="AJ48" i="1"/>
  <c r="L78" i="1"/>
  <c r="AH82" i="1"/>
  <c r="P92" i="1"/>
  <c r="AN45" i="1"/>
  <c r="AQ58" i="1"/>
  <c r="AM61" i="1"/>
  <c r="AQ62" i="1"/>
  <c r="Z78" i="1"/>
  <c r="Z80" i="1"/>
  <c r="P82" i="1"/>
  <c r="P83" i="1"/>
  <c r="L88" i="1"/>
  <c r="AD90" i="1"/>
  <c r="P93" i="1"/>
  <c r="AG45" i="1"/>
  <c r="AO45" i="1"/>
  <c r="AJ58" i="1"/>
  <c r="AR58" i="1"/>
  <c r="AN48" i="1"/>
  <c r="AQ61" i="1"/>
  <c r="AO49" i="1"/>
  <c r="AR62" i="1"/>
  <c r="H78" i="1"/>
  <c r="R78" i="1"/>
  <c r="AC78" i="1"/>
  <c r="R79" i="1"/>
  <c r="H80" i="1"/>
  <c r="S80" i="1"/>
  <c r="AC80" i="1"/>
  <c r="Z82" i="1"/>
  <c r="L84" i="1"/>
  <c r="AD84" i="1"/>
  <c r="AC85" i="1"/>
  <c r="Z86" i="1"/>
  <c r="S87" i="1"/>
  <c r="S88" i="1"/>
  <c r="AG88" i="1"/>
  <c r="AG89" i="1"/>
  <c r="AG90" i="1"/>
  <c r="S93" i="1"/>
  <c r="S95" i="1"/>
  <c r="S98" i="1"/>
  <c r="AL61" i="1"/>
  <c r="Z79" i="1"/>
  <c r="AD81" i="1"/>
  <c r="AD87" i="1"/>
  <c r="AI58" i="1"/>
  <c r="AK48" i="1"/>
  <c r="AN49" i="1"/>
  <c r="H79" i="1"/>
  <c r="L81" i="1"/>
  <c r="AJ45" i="1"/>
  <c r="AR45" i="1"/>
  <c r="AM58" i="1"/>
  <c r="AG48" i="1"/>
  <c r="AR48" i="1"/>
  <c r="AJ49" i="1"/>
  <c r="AI62" i="1"/>
  <c r="K78" i="1"/>
  <c r="S78" i="1"/>
  <c r="AD78" i="1"/>
  <c r="V79" i="1"/>
  <c r="K80" i="1"/>
  <c r="V80" i="1"/>
  <c r="O84" i="1"/>
  <c r="L85" i="1"/>
  <c r="AD85" i="1"/>
  <c r="Z88" i="1"/>
  <c r="P90" i="1"/>
  <c r="P94" i="1"/>
  <c r="AL44" i="1"/>
  <c r="AG57" i="1"/>
  <c r="AK57" i="1"/>
  <c r="AS57" i="1"/>
  <c r="AH46" i="1"/>
  <c r="AP46" i="1"/>
  <c r="AK59" i="1"/>
  <c r="AO59" i="1"/>
  <c r="AG61" i="1"/>
  <c r="AG62" i="1"/>
  <c r="I83" i="1"/>
  <c r="I81" i="1"/>
  <c r="I80" i="1"/>
  <c r="I78" i="1"/>
  <c r="Q93" i="1"/>
  <c r="Q92" i="1"/>
  <c r="Q90" i="1"/>
  <c r="Q89" i="1"/>
  <c r="Q84" i="1"/>
  <c r="Q96" i="1"/>
  <c r="Q95" i="1"/>
  <c r="Q87" i="1"/>
  <c r="Q82" i="1"/>
  <c r="Q80" i="1"/>
  <c r="Q78" i="1"/>
  <c r="AA90" i="1"/>
  <c r="AA88" i="1"/>
  <c r="AA86" i="1"/>
  <c r="AA85" i="1"/>
  <c r="AA89" i="1"/>
  <c r="AA87" i="1"/>
  <c r="AA84" i="1"/>
  <c r="AA81" i="1"/>
  <c r="AA80" i="1"/>
  <c r="AA78" i="1"/>
  <c r="M83" i="1"/>
  <c r="AE83" i="1"/>
  <c r="W84" i="1"/>
  <c r="M86" i="1"/>
  <c r="AA91" i="1"/>
  <c r="AI44" i="1"/>
  <c r="AQ44" i="1"/>
  <c r="AH57" i="1"/>
  <c r="AL57" i="1"/>
  <c r="AP57" i="1"/>
  <c r="AI46" i="1"/>
  <c r="AM46" i="1"/>
  <c r="AQ46" i="1"/>
  <c r="AH59" i="1"/>
  <c r="AL59" i="1"/>
  <c r="AP59" i="1"/>
  <c r="AP48" i="1"/>
  <c r="AH61" i="1"/>
  <c r="AS61" i="1"/>
  <c r="AP49" i="1"/>
  <c r="AN62" i="1"/>
  <c r="AS62" i="1"/>
  <c r="N88" i="1"/>
  <c r="N90" i="1"/>
  <c r="N89" i="1"/>
  <c r="N86" i="1"/>
  <c r="N84" i="1"/>
  <c r="N83" i="1"/>
  <c r="N81" i="1"/>
  <c r="R94" i="1"/>
  <c r="R88" i="1"/>
  <c r="R92" i="1"/>
  <c r="R90" i="1"/>
  <c r="R96" i="1"/>
  <c r="R95" i="1"/>
  <c r="R85" i="1"/>
  <c r="X84" i="1"/>
  <c r="X86" i="1"/>
  <c r="X82" i="1"/>
  <c r="AB92" i="1"/>
  <c r="AB84" i="1"/>
  <c r="AB90" i="1"/>
  <c r="AB94" i="1"/>
  <c r="AB89" i="1"/>
  <c r="AB85" i="1"/>
  <c r="AB83" i="1"/>
  <c r="AF98" i="1"/>
  <c r="AF92" i="1"/>
  <c r="AF84" i="1"/>
  <c r="AF90" i="1"/>
  <c r="AF87" i="1"/>
  <c r="AF81" i="1"/>
  <c r="N78" i="1"/>
  <c r="AF78" i="1"/>
  <c r="I79" i="1"/>
  <c r="N79" i="1"/>
  <c r="AA79" i="1"/>
  <c r="AF79" i="1"/>
  <c r="J80" i="1"/>
  <c r="AB80" i="1"/>
  <c r="M81" i="1"/>
  <c r="J82" i="1"/>
  <c r="R82" i="1"/>
  <c r="AA82" i="1"/>
  <c r="AF83" i="1"/>
  <c r="AE84" i="1"/>
  <c r="N85" i="1"/>
  <c r="AF85" i="1"/>
  <c r="R87" i="1"/>
  <c r="M88" i="1"/>
  <c r="AB91" i="1"/>
  <c r="AA92" i="1"/>
  <c r="Q94" i="1"/>
  <c r="AF96" i="1"/>
  <c r="AE98" i="1"/>
  <c r="AJ44" i="1"/>
  <c r="AN44" i="1"/>
  <c r="AR44" i="1"/>
  <c r="AI57" i="1"/>
  <c r="AM57" i="1"/>
  <c r="AQ57" i="1"/>
  <c r="AH45" i="1"/>
  <c r="AL45" i="1"/>
  <c r="AP45" i="1"/>
  <c r="AG58" i="1"/>
  <c r="AK58" i="1"/>
  <c r="AO58" i="1"/>
  <c r="AS58" i="1"/>
  <c r="AR46" i="1"/>
  <c r="AI59" i="1"/>
  <c r="AH48" i="1"/>
  <c r="AL48" i="1"/>
  <c r="AQ48" i="1"/>
  <c r="AO61" i="1"/>
  <c r="AG49" i="1"/>
  <c r="AL49" i="1"/>
  <c r="AJ62" i="1"/>
  <c r="AO62" i="1"/>
  <c r="J78" i="1"/>
  <c r="V78" i="1"/>
  <c r="AB78" i="1"/>
  <c r="J79" i="1"/>
  <c r="P79" i="1"/>
  <c r="W79" i="1"/>
  <c r="AB79" i="1"/>
  <c r="AH79" i="1"/>
  <c r="P80" i="1"/>
  <c r="X80" i="1"/>
  <c r="P81" i="1"/>
  <c r="X81" i="1"/>
  <c r="AE81" i="1"/>
  <c r="M82" i="1"/>
  <c r="AB82" i="1"/>
  <c r="J83" i="1"/>
  <c r="Q83" i="1"/>
  <c r="AA83" i="1"/>
  <c r="J84" i="1"/>
  <c r="P84" i="1"/>
  <c r="Z84" i="1"/>
  <c r="AH84" i="1"/>
  <c r="P85" i="1"/>
  <c r="AH85" i="1"/>
  <c r="Q86" i="1"/>
  <c r="AB86" i="1"/>
  <c r="AB88" i="1"/>
  <c r="AH88" i="1"/>
  <c r="AF91" i="1"/>
  <c r="AB93" i="1"/>
  <c r="AF95" i="1"/>
  <c r="AF99" i="1"/>
  <c r="AH44" i="1"/>
  <c r="M89" i="1"/>
  <c r="M84" i="1"/>
  <c r="M85" i="1"/>
  <c r="M80" i="1"/>
  <c r="M78" i="1"/>
  <c r="W83" i="1"/>
  <c r="W80" i="1"/>
  <c r="W78" i="1"/>
  <c r="AE90" i="1"/>
  <c r="AE88" i="1"/>
  <c r="AE86" i="1"/>
  <c r="AE85" i="1"/>
  <c r="AE95" i="1"/>
  <c r="AE94" i="1"/>
  <c r="AE89" i="1"/>
  <c r="AE97" i="1"/>
  <c r="AE93" i="1"/>
  <c r="AE80" i="1"/>
  <c r="AE78" i="1"/>
  <c r="M79" i="1"/>
  <c r="AE79" i="1"/>
  <c r="I82" i="1"/>
  <c r="AM44" i="1"/>
  <c r="AG44" i="1"/>
  <c r="AK44" i="1"/>
  <c r="AO44" i="1"/>
  <c r="AS44" i="1"/>
  <c r="AJ57" i="1"/>
  <c r="AN57" i="1"/>
  <c r="AR57" i="1"/>
  <c r="AI45" i="1"/>
  <c r="AM45" i="1"/>
  <c r="AQ45" i="1"/>
  <c r="AH58" i="1"/>
  <c r="AL58" i="1"/>
  <c r="AP58" i="1"/>
  <c r="AO46" i="1"/>
  <c r="AS46" i="1"/>
  <c r="AJ59" i="1"/>
  <c r="AN59" i="1"/>
  <c r="AR59" i="1"/>
  <c r="AI48" i="1"/>
  <c r="AM48" i="1"/>
  <c r="AK61" i="1"/>
  <c r="AP61" i="1"/>
  <c r="AS49" i="1"/>
  <c r="L87" i="1"/>
  <c r="L82" i="1"/>
  <c r="P87" i="1"/>
  <c r="P91" i="1"/>
  <c r="V81" i="1"/>
  <c r="Z89" i="1"/>
  <c r="Z83" i="1"/>
  <c r="Z91" i="1"/>
  <c r="AD96" i="1"/>
  <c r="AD95" i="1"/>
  <c r="AD94" i="1"/>
  <c r="AD89" i="1"/>
  <c r="AD83" i="1"/>
  <c r="AD93" i="1"/>
  <c r="AD91" i="1"/>
  <c r="AD88" i="1"/>
  <c r="AD82" i="1"/>
  <c r="AH96" i="1"/>
  <c r="AH95" i="1"/>
  <c r="AH94" i="1"/>
  <c r="AH89" i="1"/>
  <c r="AH83" i="1"/>
  <c r="AH80" i="1"/>
  <c r="AH99" i="1"/>
  <c r="AH97" i="1"/>
  <c r="AH93" i="1"/>
  <c r="AH91" i="1"/>
  <c r="AH98" i="1"/>
  <c r="AH92" i="1"/>
  <c r="AH86" i="1"/>
  <c r="P78" i="1"/>
  <c r="X78" i="1"/>
  <c r="AH78" i="1"/>
  <c r="L79" i="1"/>
  <c r="Q79" i="1"/>
  <c r="X79" i="1"/>
  <c r="AD79" i="1"/>
  <c r="L80" i="1"/>
  <c r="R80" i="1"/>
  <c r="AD80" i="1"/>
  <c r="J81" i="1"/>
  <c r="Q81" i="1"/>
  <c r="Z81" i="1"/>
  <c r="AH81" i="1"/>
  <c r="N82" i="1"/>
  <c r="W82" i="1"/>
  <c r="AE82" i="1"/>
  <c r="L83" i="1"/>
  <c r="R83" i="1"/>
  <c r="R84" i="1"/>
  <c r="J85" i="1"/>
  <c r="Q85" i="1"/>
  <c r="L86" i="1"/>
  <c r="R86" i="1"/>
  <c r="AD86" i="1"/>
  <c r="N87" i="1"/>
  <c r="Z87" i="1"/>
  <c r="AH87" i="1"/>
  <c r="Q88" i="1"/>
  <c r="P89" i="1"/>
  <c r="AF89" i="1"/>
  <c r="Z90" i="1"/>
  <c r="R91" i="1"/>
  <c r="AE92" i="1"/>
  <c r="AF94" i="1"/>
  <c r="AF97" i="1"/>
  <c r="AF100" i="1"/>
  <c r="K86" i="1"/>
  <c r="K85" i="1"/>
  <c r="K83" i="1"/>
  <c r="K82" i="1"/>
  <c r="K81" i="1"/>
  <c r="O91" i="1"/>
  <c r="O86" i="1"/>
  <c r="O85" i="1"/>
  <c r="O83" i="1"/>
  <c r="O82" i="1"/>
  <c r="O81" i="1"/>
  <c r="S91" i="1"/>
  <c r="S86" i="1"/>
  <c r="S85" i="1"/>
  <c r="S83" i="1"/>
  <c r="S82" i="1"/>
  <c r="S81" i="1"/>
  <c r="S97" i="1"/>
  <c r="S94" i="1"/>
  <c r="Y87" i="1"/>
  <c r="Y81" i="1"/>
  <c r="AC93" i="1"/>
  <c r="AC91" i="1"/>
  <c r="AC87" i="1"/>
  <c r="AC82" i="1"/>
  <c r="AC81" i="1"/>
  <c r="AC92" i="1"/>
  <c r="AG99" i="1"/>
  <c r="AG97" i="1"/>
  <c r="AG93" i="1"/>
  <c r="AG91" i="1"/>
  <c r="AG87" i="1"/>
  <c r="AG82" i="1"/>
  <c r="AG81" i="1"/>
  <c r="AG98" i="1"/>
  <c r="AG92" i="1"/>
  <c r="G79" i="1"/>
  <c r="K79" i="1"/>
  <c r="O79" i="1"/>
  <c r="S79" i="1"/>
  <c r="Y79" i="1"/>
  <c r="AC79" i="1"/>
  <c r="AG79" i="1"/>
  <c r="AG83" i="1"/>
  <c r="S84" i="1"/>
  <c r="AG84" i="1"/>
  <c r="AG85" i="1"/>
  <c r="AC86" i="1"/>
  <c r="O88" i="1"/>
  <c r="Y88" i="1"/>
  <c r="O89" i="1"/>
  <c r="O90" i="1"/>
  <c r="AC90" i="1"/>
</calcChain>
</file>

<file path=xl/sharedStrings.xml><?xml version="1.0" encoding="utf-8"?>
<sst xmlns="http://schemas.openxmlformats.org/spreadsheetml/2006/main" count="167" uniqueCount="114">
  <si>
    <t>Il Bignami dei Multirotori x dimensionamento di massima</t>
  </si>
  <si>
    <t>Autonomia stimata</t>
  </si>
  <si>
    <t>Amp Corrente x motore</t>
  </si>
  <si>
    <t>Amp Corrente totale</t>
  </si>
  <si>
    <t>Dia Propeller</t>
  </si>
  <si>
    <t>Km/h</t>
  </si>
  <si>
    <t>Rpm</t>
  </si>
  <si>
    <t>Watt Totali</t>
  </si>
  <si>
    <t>Da considerare per miglior compromesso stabilità vento / range</t>
  </si>
  <si>
    <t>Range KV</t>
  </si>
  <si>
    <t>KV   x 400 km/h</t>
  </si>
  <si>
    <t>s</t>
  </si>
  <si>
    <t>Surface Loaded DISK</t>
  </si>
  <si>
    <t>QUADCOPTER    Area portante/rotori 4 propeller  m2</t>
  </si>
  <si>
    <t>ESA COPTER Area portante/rotori 6 propeller  m2</t>
  </si>
  <si>
    <t>Eliche</t>
  </si>
  <si>
    <t>Kg modello</t>
  </si>
  <si>
    <t>Carico sull'area portante/rotori 4 propeller  Kg/m2</t>
  </si>
  <si>
    <t>Carico sull'area portante/rotori 6 propeller  Kg/m2</t>
  </si>
  <si>
    <t>Le eliche devono essere molto ben equilibrate</t>
  </si>
  <si>
    <t>Assorbono meglio eventuali sbilanciamenti eliche</t>
  </si>
  <si>
    <t>Nota</t>
  </si>
  <si>
    <t>Da considerare per aumentare il range / autonomia attenzione al vento</t>
  </si>
  <si>
    <t>KV   x 300 km/h</t>
  </si>
  <si>
    <t>I Kv dei motori dovrebbero essere tra i valori di queste due tabelle in funzione degli s e delle eliche</t>
  </si>
  <si>
    <t xml:space="preserve">Quadri rotori  Valori Peso in ordine di volo MASSIMI consigliati in funzione delle eliche </t>
  </si>
  <si>
    <t xml:space="preserve">Esa rotori  Valori Peso in ordine di volo MASSIMI consigliati in funzione delle eliche </t>
  </si>
  <si>
    <t>Quad</t>
  </si>
  <si>
    <t>Esa</t>
  </si>
  <si>
    <t>Min</t>
  </si>
  <si>
    <t>Sec</t>
  </si>
  <si>
    <t>Mah considerati</t>
  </si>
  <si>
    <t>Eliche comprese tra i valori di sinistra e di destra incominciano a essere critiche ma ancora utilizzabili</t>
  </si>
  <si>
    <t>Diametro   Propeller</t>
  </si>
  <si>
    <t>Tip speed</t>
  </si>
  <si>
    <t>Limite a 10 kg/m2</t>
  </si>
  <si>
    <t>Limite a 13 kg/m2</t>
  </si>
  <si>
    <t>Kv motori nel caso delle eliche in area gialla</t>
  </si>
  <si>
    <t>Kv motori nel caso delle eliche in area verde</t>
  </si>
  <si>
    <t xml:space="preserve">Eliche in area gialla modello piu caricato , eliche in area Verde modello con minor carico aerodinamico sui dischi </t>
  </si>
  <si>
    <t>Meglio selezionare motori con Kv compresi nelle aree verdi</t>
  </si>
  <si>
    <t>Eliche con diametro inferiore ai valori in giallo  meglio evitare</t>
  </si>
  <si>
    <t>Con eliche maggiori  si migliora l'autonomia se abbinate a Kv motori piu bassi cosi da diminuire la velocità periferica delle eliche</t>
  </si>
  <si>
    <t>S batterie</t>
  </si>
  <si>
    <t>Octo</t>
  </si>
  <si>
    <t>Prima scelta</t>
  </si>
  <si>
    <t>Seconda scelta</t>
  </si>
  <si>
    <t>Portandosi con Kv da valori a sinistra nelle tabelle verso valori di destra sarebbe meglio aumentare il diameto eliche</t>
  </si>
  <si>
    <t>Se si hanno motori con Kv compresi tra i valori in rosso e verdi si è ancora in una configurazione accettabile se invece si hanno motori con Kv superiori o inferiori ai valori in rosso si è in area critica sarebbe meglio cambiare motori e/o eliche</t>
  </si>
  <si>
    <t xml:space="preserve">Inserire il N° di s delle batterie </t>
  </si>
  <si>
    <t>Inserire N° rotori</t>
  </si>
  <si>
    <t>Inserire il diametro eliche in pollici</t>
  </si>
  <si>
    <t>Inserire mah batteria valore di targa</t>
  </si>
  <si>
    <t>Eliche suggerite x il multi con il peso totale inserito</t>
  </si>
  <si>
    <t xml:space="preserve">I Kv sono calcolati in base a due possibilità </t>
  </si>
  <si>
    <t>Valore riportato dal costruttore della batteria</t>
  </si>
  <si>
    <t>Velocità Periferica km/h</t>
  </si>
  <si>
    <t>Carico kg/m2  sui rotori</t>
  </si>
  <si>
    <t>Inserire peso totale stimato incluse batterie</t>
  </si>
  <si>
    <t>Tab 1</t>
  </si>
  <si>
    <r>
      <t xml:space="preserve">Wheel base minimo diametro cerchio in </t>
    </r>
    <r>
      <rPr>
        <b/>
        <sz val="8"/>
        <rFont val="Arial"/>
        <family val="2"/>
      </rPr>
      <t>mm</t>
    </r>
    <r>
      <rPr>
        <sz val="8"/>
        <rFont val="Arial"/>
        <family val="2"/>
      </rPr>
      <t xml:space="preserve"> su cui posizionare i  motori per le differenti eliche sopra suggerite</t>
    </r>
  </si>
  <si>
    <t>mm</t>
  </si>
  <si>
    <t>Con bollino rosso occorre alzare il diametro delle eliche o ridurre il peso del multi</t>
  </si>
  <si>
    <t>Con bollino rosso ed il valore è inferiore a 300 occorre alzare i KV motori o abbassare i Kv ed il valore è maggiore di 400 , sotto i 300 puo ancora essere accettabile se si cerca autonomia , ma potrebbero esserci problemi di stabilità modello</t>
  </si>
  <si>
    <t>Per Kv consultare Tab 2  in cui si possono individuare intervalli di kv possibili in base alle eliche ottimali ed agli S batterie</t>
  </si>
  <si>
    <t>Inserire mah batteria ricaricati o stimati</t>
  </si>
  <si>
    <t>Range carichi su superfice portante meglio stare nelle aree verdi ............. Il peso del multi dovrebbe essere tra quelli che vi portano ad avere in funzione  del diametro eliche valori di carico sul superficie portante in verde , piu il valore è basso piu il vostro multirotore sarà efficiente in termini di autonomia</t>
  </si>
  <si>
    <t>Octo COPTER Area portante/rotori 8 propeller  m2</t>
  </si>
  <si>
    <t>Inserite tempo di volo</t>
  </si>
  <si>
    <t>Inserite ricarica del test mah</t>
  </si>
  <si>
    <t>Tab 4</t>
  </si>
  <si>
    <t xml:space="preserve"> RPM  in funzione delle eliche e Tip speed</t>
  </si>
  <si>
    <t>Per eliche piccole (arancio): i kv sono nelle tab di Sinistra contornate in Giallo</t>
  </si>
  <si>
    <t>Per eliche medie (verdi) : i Kv sono nelle tabelle di Destra contornate in Verde</t>
  </si>
  <si>
    <t>Si possono inserire valori solo nelle caselle grigie</t>
  </si>
  <si>
    <t>Peso multi in ordine di volo gr</t>
  </si>
  <si>
    <t>Slow</t>
  </si>
  <si>
    <t>Nor</t>
  </si>
  <si>
    <t>Inserire i Kv da voi definiti</t>
  </si>
  <si>
    <t>Con il coefficiente calcolato da excel</t>
  </si>
  <si>
    <t>Tabella x Calcolo del coeff. Efficienza reale del vostro multi Inserire i dati del multi testato</t>
  </si>
  <si>
    <t>Se avete già fatto prove di autonomia e sapete quanto avete ricaricato le batterie ed il tempo di volo è possibile calcolare il reale coefficiente di rendimentto del vostro multi , cosi da poterlo usare in valutazioni comparative</t>
  </si>
  <si>
    <t>In questa tabella si mettono solo i dati della configurazione che avete provato in volo</t>
  </si>
  <si>
    <t>Dati del multi rotore da calcolare</t>
  </si>
  <si>
    <t>Una volta verificato quali eliche andrebbero meglio, è possibile definire i Kv dei motori in base a quante batterie in serie si prevedono S</t>
  </si>
  <si>
    <r>
      <t xml:space="preserve">Inserire i mah che vengono ricaricati nella batteria dopo l'uso , </t>
    </r>
    <r>
      <rPr>
        <b/>
        <sz val="10"/>
        <color theme="1"/>
        <rFont val="Calibri"/>
        <family val="2"/>
        <scheme val="minor"/>
      </rPr>
      <t>oppure</t>
    </r>
    <r>
      <rPr>
        <sz val="10"/>
        <color theme="1"/>
        <rFont val="Calibri"/>
        <family val="2"/>
        <scheme val="minor"/>
      </rPr>
      <t xml:space="preserve"> anche solo una stima ad esempio il 90%</t>
    </r>
  </si>
  <si>
    <t xml:space="preserve">Per valutare le batterie in serie consultare la Tab 2 in cui si possono trovare in base alle eliche ottimali ed in funzione Kv </t>
  </si>
  <si>
    <t>Coefficiente di efficienza calcolato da excel in base a peso , eliche, n° rotori , Kv, normalmente compreso tra 0,34 e  0,44</t>
  </si>
  <si>
    <t>wheel base minimo diametro cerchio su cui posizionare i  motori in base alle eliche indicate</t>
  </si>
  <si>
    <t>Coefficiente efficienza ricavato dai vostri test se ne avete gia fatti</t>
  </si>
  <si>
    <t>Inserire diametro eliche per aiuto nel loro dimensionamento  dopo aver inserito i peso del multi consulltareTab 1</t>
  </si>
  <si>
    <t>Tab X</t>
  </si>
  <si>
    <t>Legenda per i dati da inserire nella Tab x circoscritta in blu del multi da calcolare</t>
  </si>
  <si>
    <t>Eliche suggerite  valido solo per dati inseriti in Tab X</t>
  </si>
  <si>
    <t>Tab 2   valida solo per dati in Tab x</t>
  </si>
  <si>
    <t>3.1</t>
  </si>
  <si>
    <t xml:space="preserve">3.2 </t>
  </si>
  <si>
    <t xml:space="preserve">Correzione errore calcolo </t>
  </si>
  <si>
    <t>New configuration layout + leggera correzione sul calcolo del coefficiente rendimento multi</t>
  </si>
  <si>
    <t>History</t>
  </si>
  <si>
    <t>Tabelle di altre configurazioni che state facendo per confronto.                                                                                      Nelle ultime due colonne si puo inserire un coeff. di  efficienza stimato da voi</t>
  </si>
  <si>
    <t>3.3</t>
  </si>
  <si>
    <t>Inserito suggerimento classe motori ..solo indicazione di massima</t>
  </si>
  <si>
    <t>Classe Motore grammi</t>
  </si>
  <si>
    <t>Watt/kg</t>
  </si>
  <si>
    <t>Otto rotori  Valori Peso in ordine di volo MASSIMI</t>
  </si>
  <si>
    <t>3.4</t>
  </si>
  <si>
    <t>La  tip speed viene considerata nel calcolo del coeff. Efficienza</t>
  </si>
  <si>
    <t>release 3.5</t>
  </si>
  <si>
    <t xml:space="preserve">3.5 </t>
  </si>
  <si>
    <t xml:space="preserve">Corretta formula per tenere in conto alcune variabili tra i diversi diametri pale , in base ai dati che ho rilevato nei miei test </t>
  </si>
  <si>
    <t>A bassi diametri eliche es sotto 9 " e bassi giri è ancora troppo ottimista il valore dell'autonomia calcolato</t>
  </si>
  <si>
    <t>Corretto dicitura Watt/gr con Watt/kg</t>
  </si>
  <si>
    <t>Password x sbloccare è "wolf" ma attenzione in diverse celle ci sono formule che servono per il calcolo nel caso di modifiche inavvertite il foglio potrebbe non dare dati attenedibili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</si>
</sst>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32" x14ac:knownFonts="1">
    <font>
      <sz val="11"/>
      <color theme="1"/>
      <name val="Calibri"/>
      <family val="2"/>
      <scheme val="minor"/>
    </font>
    <font>
      <b/>
      <sz val="12"/>
      <name val="Arial"/>
      <family val="2"/>
    </font>
    <font>
      <b/>
      <sz val="8"/>
      <name val="Arial"/>
      <family val="2"/>
    </font>
    <font>
      <sz val="8"/>
      <name val="Arial"/>
      <family val="2"/>
    </font>
    <font>
      <b/>
      <sz val="10"/>
      <name val="Arial"/>
      <family val="2"/>
    </font>
    <font>
      <b/>
      <sz val="8"/>
      <color theme="0"/>
      <name val="Arial"/>
      <family val="2"/>
    </font>
    <font>
      <b/>
      <sz val="9"/>
      <name val="Arial"/>
      <family val="2"/>
    </font>
    <font>
      <sz val="10"/>
      <name val="Arial"/>
      <family val="2"/>
    </font>
    <font>
      <b/>
      <sz val="8"/>
      <color rgb="FF92D050"/>
      <name val="Arial"/>
      <family val="2"/>
    </font>
    <font>
      <sz val="8"/>
      <color theme="1"/>
      <name val="Calibri"/>
      <family val="2"/>
      <scheme val="minor"/>
    </font>
    <font>
      <b/>
      <sz val="8"/>
      <color theme="1"/>
      <name val="Calibri"/>
      <family val="2"/>
      <scheme val="minor"/>
    </font>
    <font>
      <sz val="8"/>
      <color theme="0"/>
      <name val="Arial"/>
      <family val="2"/>
    </font>
    <font>
      <b/>
      <sz val="9"/>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name val="Calibri"/>
      <family val="2"/>
      <scheme val="minor"/>
    </font>
    <font>
      <sz val="10"/>
      <color theme="0"/>
      <name val="Calibri"/>
      <family val="2"/>
      <scheme val="minor"/>
    </font>
    <font>
      <b/>
      <sz val="10"/>
      <color theme="1"/>
      <name val="Calibri"/>
      <family val="2"/>
      <scheme val="minor"/>
    </font>
    <font>
      <b/>
      <sz val="10"/>
      <name val="Calibri"/>
      <family val="2"/>
      <scheme val="minor"/>
    </font>
    <font>
      <sz val="8"/>
      <name val="Calibri"/>
      <family val="2"/>
      <scheme val="minor"/>
    </font>
    <font>
      <sz val="11"/>
      <name val="Calibri"/>
      <family val="2"/>
      <scheme val="minor"/>
    </font>
    <font>
      <b/>
      <sz val="16"/>
      <color theme="3" tint="0.39997558519241921"/>
      <name val="Arial"/>
      <family val="2"/>
    </font>
    <font>
      <b/>
      <sz val="8"/>
      <color theme="3" tint="0.39997558519241921"/>
      <name val="Arial"/>
      <family val="2"/>
    </font>
    <font>
      <sz val="10"/>
      <color theme="5" tint="-0.249977111117893"/>
      <name val="Calibri"/>
      <family val="2"/>
      <scheme val="minor"/>
    </font>
    <font>
      <b/>
      <sz val="10"/>
      <color theme="5" tint="-0.249977111117893"/>
      <name val="Calibri"/>
      <family val="2"/>
      <scheme val="minor"/>
    </font>
    <font>
      <b/>
      <sz val="12"/>
      <color theme="3" tint="0.39997558519241921"/>
      <name val="Arial"/>
      <family val="2"/>
    </font>
    <font>
      <sz val="9"/>
      <color theme="1"/>
      <name val="Calibri"/>
      <family val="2"/>
      <scheme val="minor"/>
    </font>
    <font>
      <b/>
      <sz val="16"/>
      <color theme="1"/>
      <name val="Calibri"/>
      <family val="2"/>
      <scheme val="minor"/>
    </font>
    <font>
      <b/>
      <sz val="10"/>
      <color rgb="FFFFFF00"/>
      <name val="Calibri"/>
      <family val="2"/>
      <scheme val="minor"/>
    </font>
    <font>
      <b/>
      <sz val="11"/>
      <color rgb="FFFF0000"/>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6" tint="0.39997558519241921"/>
        <bgColor indexed="64"/>
      </patternFill>
    </fill>
    <fill>
      <patternFill patternType="solid">
        <fgColor rgb="FF00FF00"/>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5" tint="-0.249977111117893"/>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style="medium">
        <color indexed="64"/>
      </left>
      <right/>
      <top style="thin">
        <color indexed="64"/>
      </top>
      <bottom/>
      <diagonal/>
    </border>
    <border>
      <left/>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429">
    <xf numFmtId="0" fontId="0" fillId="0" borderId="0" xfId="0"/>
    <xf numFmtId="0" fontId="0" fillId="0" borderId="0" xfId="0" applyProtection="1">
      <protection hidden="1"/>
    </xf>
    <xf numFmtId="0" fontId="0" fillId="0" borderId="0" xfId="0" applyFill="1" applyProtection="1">
      <protection hidden="1"/>
    </xf>
    <xf numFmtId="0" fontId="0" fillId="0" borderId="0" xfId="0" applyAlignment="1" applyProtection="1">
      <alignment horizontal="center"/>
      <protection hidden="1"/>
    </xf>
    <xf numFmtId="0" fontId="3" fillId="0" borderId="0" xfId="0" applyFont="1" applyProtection="1">
      <protection hidden="1"/>
    </xf>
    <xf numFmtId="0" fontId="2"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6" xfId="0" applyFont="1" applyBorder="1" applyAlignment="1" applyProtection="1">
      <alignment horizontal="right"/>
      <protection hidden="1"/>
    </xf>
    <xf numFmtId="0" fontId="2" fillId="0" borderId="16" xfId="0" applyFont="1" applyBorder="1" applyProtection="1">
      <protection hidden="1"/>
    </xf>
    <xf numFmtId="1" fontId="3" fillId="0" borderId="0" xfId="0" applyNumberFormat="1" applyFont="1" applyBorder="1" applyAlignment="1" applyProtection="1">
      <alignment horizontal="center"/>
      <protection hidden="1"/>
    </xf>
    <xf numFmtId="1" fontId="3" fillId="0" borderId="16" xfId="0" applyNumberFormat="1" applyFont="1" applyBorder="1" applyAlignment="1" applyProtection="1">
      <alignment horizontal="center"/>
      <protection hidden="1"/>
    </xf>
    <xf numFmtId="0" fontId="3" fillId="0" borderId="0" xfId="0" applyFont="1" applyAlignment="1" applyProtection="1">
      <alignment horizontal="left" vertical="center"/>
      <protection hidden="1"/>
    </xf>
    <xf numFmtId="0" fontId="2" fillId="0" borderId="9" xfId="0" applyFont="1" applyBorder="1" applyProtection="1">
      <protection hidden="1"/>
    </xf>
    <xf numFmtId="1" fontId="3" fillId="0" borderId="8" xfId="0" applyNumberFormat="1" applyFont="1" applyBorder="1" applyAlignment="1" applyProtection="1">
      <alignment horizontal="center"/>
      <protection hidden="1"/>
    </xf>
    <xf numFmtId="1" fontId="3" fillId="0" borderId="9" xfId="0" applyNumberFormat="1" applyFont="1" applyBorder="1" applyAlignment="1" applyProtection="1">
      <alignment horizontal="center"/>
      <protection hidden="1"/>
    </xf>
    <xf numFmtId="0" fontId="2" fillId="0" borderId="22" xfId="0" applyFont="1" applyBorder="1" applyAlignment="1" applyProtection="1">
      <alignment horizontal="right"/>
      <protection hidden="1"/>
    </xf>
    <xf numFmtId="1" fontId="3" fillId="5" borderId="1" xfId="0" applyNumberFormat="1" applyFont="1" applyFill="1" applyBorder="1" applyAlignment="1" applyProtection="1">
      <alignment horizontal="center"/>
      <protection hidden="1"/>
    </xf>
    <xf numFmtId="1" fontId="3" fillId="5" borderId="2" xfId="0" applyNumberFormat="1" applyFont="1" applyFill="1" applyBorder="1" applyAlignment="1" applyProtection="1">
      <alignment horizontal="center"/>
      <protection hidden="1"/>
    </xf>
    <xf numFmtId="1" fontId="3" fillId="5" borderId="3" xfId="0" applyNumberFormat="1" applyFont="1" applyFill="1" applyBorder="1" applyAlignment="1" applyProtection="1">
      <alignment horizontal="center"/>
      <protection hidden="1"/>
    </xf>
    <xf numFmtId="1" fontId="3" fillId="5" borderId="22" xfId="0" applyNumberFormat="1" applyFont="1" applyFill="1" applyBorder="1" applyAlignment="1" applyProtection="1">
      <alignment horizontal="center"/>
      <protection hidden="1"/>
    </xf>
    <xf numFmtId="1" fontId="3" fillId="5" borderId="0" xfId="0" applyNumberFormat="1" applyFont="1" applyFill="1" applyBorder="1" applyAlignment="1" applyProtection="1">
      <alignment horizontal="center"/>
      <protection hidden="1"/>
    </xf>
    <xf numFmtId="1" fontId="3" fillId="5" borderId="16" xfId="0" applyNumberFormat="1" applyFont="1" applyFill="1" applyBorder="1" applyAlignment="1" applyProtection="1">
      <alignment horizontal="center"/>
      <protection hidden="1"/>
    </xf>
    <xf numFmtId="0" fontId="2" fillId="0" borderId="7" xfId="0" applyFont="1" applyBorder="1" applyAlignment="1" applyProtection="1">
      <alignment horizontal="right"/>
      <protection hidden="1"/>
    </xf>
    <xf numFmtId="0" fontId="2" fillId="0" borderId="8" xfId="0" applyFont="1" applyBorder="1" applyAlignment="1" applyProtection="1">
      <alignment horizontal="center"/>
      <protection hidden="1"/>
    </xf>
    <xf numFmtId="1" fontId="3" fillId="5" borderId="7" xfId="0" applyNumberFormat="1" applyFont="1" applyFill="1" applyBorder="1" applyAlignment="1" applyProtection="1">
      <alignment horizontal="center"/>
      <protection hidden="1"/>
    </xf>
    <xf numFmtId="1" fontId="3" fillId="5" borderId="8" xfId="0" applyNumberFormat="1" applyFont="1" applyFill="1" applyBorder="1" applyAlignment="1" applyProtection="1">
      <alignment horizontal="center"/>
      <protection hidden="1"/>
    </xf>
    <xf numFmtId="1" fontId="3" fillId="5" borderId="9" xfId="0" applyNumberFormat="1" applyFont="1" applyFill="1" applyBorder="1" applyAlignment="1" applyProtection="1">
      <alignment horizontal="center"/>
      <protection hidden="1"/>
    </xf>
    <xf numFmtId="0" fontId="3" fillId="0" borderId="8" xfId="0" applyFont="1" applyBorder="1" applyProtection="1">
      <protection hidden="1"/>
    </xf>
    <xf numFmtId="0" fontId="3" fillId="0" borderId="7" xfId="0" applyFont="1" applyBorder="1" applyProtection="1">
      <protection hidden="1"/>
    </xf>
    <xf numFmtId="0" fontId="3" fillId="0" borderId="8" xfId="0" applyFont="1" applyBorder="1" applyAlignment="1" applyProtection="1">
      <alignment horizontal="center"/>
      <protection hidden="1"/>
    </xf>
    <xf numFmtId="0" fontId="3" fillId="0" borderId="9" xfId="0" applyFont="1" applyBorder="1" applyAlignment="1" applyProtection="1">
      <alignment horizontal="center"/>
      <protection hidden="1"/>
    </xf>
    <xf numFmtId="0" fontId="3" fillId="0" borderId="0" xfId="0" applyFont="1" applyFill="1" applyProtection="1">
      <protection hidden="1"/>
    </xf>
    <xf numFmtId="164" fontId="2" fillId="2" borderId="1" xfId="0" applyNumberFormat="1" applyFont="1" applyFill="1" applyBorder="1" applyAlignment="1" applyProtection="1">
      <alignment horizontal="center"/>
      <protection hidden="1"/>
    </xf>
    <xf numFmtId="164" fontId="2" fillId="6" borderId="2" xfId="0" applyNumberFormat="1" applyFont="1" applyFill="1" applyBorder="1" applyAlignment="1" applyProtection="1">
      <alignment horizontal="center"/>
      <protection hidden="1"/>
    </xf>
    <xf numFmtId="164" fontId="2" fillId="6" borderId="3" xfId="0" applyNumberFormat="1" applyFont="1" applyFill="1" applyBorder="1" applyAlignment="1" applyProtection="1">
      <alignment horizontal="center"/>
      <protection hidden="1"/>
    </xf>
    <xf numFmtId="164" fontId="2" fillId="6" borderId="1" xfId="0" applyNumberFormat="1" applyFont="1" applyFill="1" applyBorder="1" applyAlignment="1" applyProtection="1">
      <alignment horizontal="center"/>
      <protection hidden="1"/>
    </xf>
    <xf numFmtId="0" fontId="3" fillId="0" borderId="15" xfId="0" applyFont="1" applyBorder="1" applyAlignment="1" applyProtection="1">
      <alignment horizontal="center"/>
      <protection hidden="1"/>
    </xf>
    <xf numFmtId="164" fontId="5" fillId="3" borderId="22" xfId="0" applyNumberFormat="1" applyFont="1" applyFill="1" applyBorder="1" applyAlignment="1" applyProtection="1">
      <alignment horizontal="center"/>
      <protection hidden="1"/>
    </xf>
    <xf numFmtId="164" fontId="2" fillId="2" borderId="0" xfId="0" applyNumberFormat="1" applyFont="1" applyFill="1" applyBorder="1" applyAlignment="1" applyProtection="1">
      <alignment horizontal="center"/>
      <protection hidden="1"/>
    </xf>
    <xf numFmtId="164" fontId="2" fillId="6" borderId="0" xfId="0" applyNumberFormat="1" applyFont="1" applyFill="1" applyBorder="1" applyAlignment="1" applyProtection="1">
      <alignment horizontal="center"/>
      <protection hidden="1"/>
    </xf>
    <xf numFmtId="164" fontId="2" fillId="6" borderId="16" xfId="0" applyNumberFormat="1" applyFont="1" applyFill="1" applyBorder="1" applyAlignment="1" applyProtection="1">
      <alignment horizontal="center"/>
      <protection hidden="1"/>
    </xf>
    <xf numFmtId="164" fontId="2" fillId="2" borderId="22" xfId="0" applyNumberFormat="1" applyFont="1" applyFill="1" applyBorder="1" applyAlignment="1" applyProtection="1">
      <alignment horizontal="center"/>
      <protection hidden="1"/>
    </xf>
    <xf numFmtId="164" fontId="8" fillId="3" borderId="22" xfId="0" applyNumberFormat="1" applyFont="1" applyFill="1" applyBorder="1" applyAlignment="1" applyProtection="1">
      <alignment horizontal="center"/>
      <protection hidden="1"/>
    </xf>
    <xf numFmtId="164" fontId="5" fillId="3" borderId="0" xfId="0" applyNumberFormat="1" applyFont="1" applyFill="1" applyBorder="1" applyAlignment="1" applyProtection="1">
      <alignment horizontal="center"/>
      <protection hidden="1"/>
    </xf>
    <xf numFmtId="164" fontId="8" fillId="3" borderId="0" xfId="0" applyNumberFormat="1" applyFont="1" applyFill="1" applyBorder="1" applyAlignment="1" applyProtection="1">
      <alignment horizontal="center"/>
      <protection hidden="1"/>
    </xf>
    <xf numFmtId="0" fontId="0" fillId="0" borderId="0" xfId="0" applyFill="1" applyAlignment="1" applyProtection="1">
      <alignment horizontal="center"/>
      <protection hidden="1"/>
    </xf>
    <xf numFmtId="164" fontId="2" fillId="2" borderId="16" xfId="0" applyNumberFormat="1" applyFont="1" applyFill="1" applyBorder="1" applyAlignment="1" applyProtection="1">
      <alignment horizontal="center"/>
      <protection hidden="1"/>
    </xf>
    <xf numFmtId="164" fontId="5" fillId="3" borderId="16" xfId="0" applyNumberFormat="1" applyFont="1" applyFill="1" applyBorder="1" applyAlignment="1" applyProtection="1">
      <alignment horizontal="center"/>
      <protection hidden="1"/>
    </xf>
    <xf numFmtId="0" fontId="3" fillId="0" borderId="21" xfId="0" applyFont="1" applyBorder="1" applyAlignment="1" applyProtection="1">
      <alignment horizontal="center"/>
      <protection hidden="1"/>
    </xf>
    <xf numFmtId="164" fontId="8" fillId="3" borderId="7" xfId="0" applyNumberFormat="1" applyFont="1" applyFill="1" applyBorder="1" applyAlignment="1" applyProtection="1">
      <alignment horizontal="center"/>
      <protection hidden="1"/>
    </xf>
    <xf numFmtId="164" fontId="8" fillId="3" borderId="8" xfId="0" applyNumberFormat="1" applyFont="1" applyFill="1" applyBorder="1" applyAlignment="1" applyProtection="1">
      <alignment horizontal="center"/>
      <protection hidden="1"/>
    </xf>
    <xf numFmtId="164" fontId="8" fillId="3" borderId="9" xfId="0" applyNumberFormat="1" applyFont="1" applyFill="1" applyBorder="1" applyAlignment="1" applyProtection="1">
      <alignment horizontal="center"/>
      <protection hidden="1"/>
    </xf>
    <xf numFmtId="164" fontId="2" fillId="2" borderId="8" xfId="0" applyNumberFormat="1" applyFont="1" applyFill="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4" xfId="0" applyFont="1" applyBorder="1" applyAlignment="1" applyProtection="1">
      <protection hidden="1"/>
    </xf>
    <xf numFmtId="0" fontId="2" fillId="0" borderId="6" xfId="0" applyFont="1" applyBorder="1" applyAlignment="1" applyProtection="1">
      <protection hidden="1"/>
    </xf>
    <xf numFmtId="0" fontId="2" fillId="0" borderId="1" xfId="0" applyFont="1" applyBorder="1" applyAlignment="1" applyProtection="1">
      <protection hidden="1"/>
    </xf>
    <xf numFmtId="0" fontId="2" fillId="0" borderId="2" xfId="0" applyFont="1" applyBorder="1" applyAlignment="1" applyProtection="1">
      <protection hidden="1"/>
    </xf>
    <xf numFmtId="0" fontId="2" fillId="0" borderId="3" xfId="0" applyFont="1" applyBorder="1" applyAlignment="1" applyProtection="1">
      <protection hidden="1"/>
    </xf>
    <xf numFmtId="0" fontId="2" fillId="0" borderId="0" xfId="0" applyFont="1" applyAlignment="1" applyProtection="1">
      <protection hidden="1"/>
    </xf>
    <xf numFmtId="164" fontId="2" fillId="0" borderId="0" xfId="0" applyNumberFormat="1" applyFont="1" applyFill="1" applyBorder="1" applyAlignment="1" applyProtection="1">
      <alignment horizontal="center"/>
      <protection hidden="1"/>
    </xf>
    <xf numFmtId="0" fontId="0" fillId="0" borderId="0" xfId="0" applyBorder="1" applyProtection="1">
      <protection hidden="1"/>
    </xf>
    <xf numFmtId="0" fontId="0" fillId="0" borderId="0" xfId="0" applyFill="1" applyBorder="1" applyProtection="1">
      <protection hidden="1"/>
    </xf>
    <xf numFmtId="0" fontId="1" fillId="0" borderId="0" xfId="0" applyFont="1" applyBorder="1" applyAlignment="1" applyProtection="1">
      <alignment horizontal="center" vertical="center"/>
      <protection hidden="1"/>
    </xf>
    <xf numFmtId="0" fontId="3" fillId="0" borderId="0" xfId="0" applyFont="1" applyFill="1" applyBorder="1" applyAlignment="1" applyProtection="1">
      <protection hidden="1"/>
    </xf>
    <xf numFmtId="165" fontId="11" fillId="0" borderId="0" xfId="0" applyNumberFormat="1" applyFont="1" applyFill="1" applyBorder="1" applyAlignment="1" applyProtection="1">
      <alignment horizontal="center" vertical="center"/>
      <protection hidden="1"/>
    </xf>
    <xf numFmtId="0" fontId="3" fillId="0" borderId="8" xfId="0" applyFont="1" applyBorder="1" applyAlignment="1" applyProtection="1">
      <alignment horizontal="center" vertical="center"/>
      <protection hidden="1"/>
    </xf>
    <xf numFmtId="0" fontId="3" fillId="0" borderId="9" xfId="0" applyFont="1" applyBorder="1" applyAlignment="1" applyProtection="1">
      <alignment horizontal="center" vertical="center"/>
      <protection hidden="1"/>
    </xf>
    <xf numFmtId="0" fontId="3" fillId="0" borderId="0" xfId="0" applyFont="1" applyFill="1" applyBorder="1" applyAlignment="1" applyProtection="1">
      <alignment horizontal="left" vertical="center"/>
      <protection hidden="1"/>
    </xf>
    <xf numFmtId="0" fontId="2" fillId="0" borderId="1" xfId="0" applyFont="1" applyBorder="1" applyAlignment="1" applyProtection="1">
      <alignment vertical="center"/>
      <protection hidden="1"/>
    </xf>
    <xf numFmtId="0" fontId="2" fillId="0" borderId="2" xfId="0" applyFont="1" applyBorder="1" applyAlignment="1" applyProtection="1">
      <alignment vertical="center"/>
      <protection hidden="1"/>
    </xf>
    <xf numFmtId="0" fontId="2" fillId="0" borderId="3" xfId="0" applyFont="1" applyBorder="1" applyAlignment="1" applyProtection="1">
      <alignment vertical="center"/>
      <protection hidden="1"/>
    </xf>
    <xf numFmtId="0" fontId="6" fillId="0" borderId="4" xfId="0" applyFont="1" applyBorder="1" applyAlignment="1" applyProtection="1">
      <protection hidden="1"/>
    </xf>
    <xf numFmtId="0" fontId="6" fillId="0" borderId="5" xfId="0" applyFont="1" applyBorder="1" applyAlignment="1" applyProtection="1">
      <protection hidden="1"/>
    </xf>
    <xf numFmtId="0" fontId="6" fillId="0" borderId="6" xfId="0" applyFont="1" applyBorder="1" applyAlignment="1" applyProtection="1">
      <protection hidden="1"/>
    </xf>
    <xf numFmtId="164" fontId="2" fillId="6" borderId="18" xfId="0" applyNumberFormat="1" applyFont="1" applyFill="1" applyBorder="1" applyAlignment="1" applyProtection="1">
      <alignment horizontal="center"/>
      <protection hidden="1"/>
    </xf>
    <xf numFmtId="0" fontId="9" fillId="0" borderId="0" xfId="0" applyFont="1" applyFill="1" applyBorder="1" applyAlignment="1" applyProtection="1">
      <alignment vertical="center" wrapText="1"/>
      <protection hidden="1"/>
    </xf>
    <xf numFmtId="0" fontId="3" fillId="0" borderId="0" xfId="0" applyFont="1" applyFill="1" applyBorder="1" applyAlignment="1" applyProtection="1">
      <alignment vertical="center" wrapText="1"/>
      <protection hidden="1"/>
    </xf>
    <xf numFmtId="1" fontId="2" fillId="0" borderId="0" xfId="0" applyNumberFormat="1" applyFont="1" applyFill="1" applyBorder="1" applyAlignment="1" applyProtection="1">
      <alignment vertical="center"/>
      <protection hidden="1"/>
    </xf>
    <xf numFmtId="1" fontId="2" fillId="6" borderId="18" xfId="0" applyNumberFormat="1" applyFont="1" applyFill="1" applyBorder="1" applyAlignment="1" applyProtection="1">
      <alignment vertical="center"/>
      <protection hidden="1"/>
    </xf>
    <xf numFmtId="1" fontId="2" fillId="3" borderId="18" xfId="0" applyNumberFormat="1" applyFont="1" applyFill="1" applyBorder="1" applyAlignment="1" applyProtection="1">
      <alignment vertical="center"/>
      <protection hidden="1"/>
    </xf>
    <xf numFmtId="1" fontId="2" fillId="3" borderId="29" xfId="0" applyNumberFormat="1" applyFont="1" applyFill="1" applyBorder="1" applyAlignment="1" applyProtection="1">
      <alignment vertical="center"/>
      <protection hidden="1"/>
    </xf>
    <xf numFmtId="1" fontId="2" fillId="6" borderId="29" xfId="0" applyNumberFormat="1" applyFont="1" applyFill="1" applyBorder="1" applyAlignment="1" applyProtection="1">
      <alignment vertical="center"/>
      <protection hidden="1"/>
    </xf>
    <xf numFmtId="1" fontId="2" fillId="4" borderId="31" xfId="0" applyNumberFormat="1" applyFont="1" applyFill="1" applyBorder="1" applyAlignment="1" applyProtection="1">
      <alignment horizontal="center"/>
      <protection hidden="1"/>
    </xf>
    <xf numFmtId="164" fontId="2" fillId="6" borderId="29" xfId="0" applyNumberFormat="1" applyFont="1" applyFill="1" applyBorder="1" applyAlignment="1" applyProtection="1">
      <alignment horizontal="center"/>
      <protection hidden="1"/>
    </xf>
    <xf numFmtId="164" fontId="2" fillId="6" borderId="31" xfId="0" applyNumberFormat="1" applyFont="1" applyFill="1" applyBorder="1" applyAlignment="1" applyProtection="1">
      <alignment horizontal="center"/>
      <protection hidden="1"/>
    </xf>
    <xf numFmtId="0" fontId="9" fillId="0" borderId="0" xfId="0" applyFont="1" applyBorder="1" applyAlignment="1" applyProtection="1">
      <alignment horizontal="center" vertical="center" wrapText="1"/>
      <protection hidden="1"/>
    </xf>
    <xf numFmtId="0" fontId="9" fillId="0" borderId="0" xfId="0" applyFont="1" applyBorder="1" applyAlignment="1" applyProtection="1">
      <alignment vertical="center" wrapText="1"/>
      <protection hidden="1"/>
    </xf>
    <xf numFmtId="1" fontId="2" fillId="3" borderId="36" xfId="0" applyNumberFormat="1" applyFont="1" applyFill="1" applyBorder="1" applyAlignment="1" applyProtection="1">
      <alignment vertical="center"/>
      <protection hidden="1"/>
    </xf>
    <xf numFmtId="1" fontId="2" fillId="3" borderId="34" xfId="0" applyNumberFormat="1" applyFont="1" applyFill="1" applyBorder="1" applyAlignment="1" applyProtection="1">
      <alignment vertical="center"/>
      <protection hidden="1"/>
    </xf>
    <xf numFmtId="1" fontId="2" fillId="3" borderId="10" xfId="0" applyNumberFormat="1" applyFont="1" applyFill="1" applyBorder="1" applyAlignment="1" applyProtection="1">
      <alignment vertical="center"/>
      <protection hidden="1"/>
    </xf>
    <xf numFmtId="0" fontId="9" fillId="2" borderId="18" xfId="0" applyFont="1" applyFill="1" applyBorder="1" applyAlignment="1" applyProtection="1">
      <alignment vertical="center" wrapText="1"/>
      <protection hidden="1"/>
    </xf>
    <xf numFmtId="0" fontId="9" fillId="6" borderId="18" xfId="0" applyFont="1" applyFill="1" applyBorder="1" applyAlignment="1" applyProtection="1">
      <alignment vertical="center" wrapText="1"/>
      <protection hidden="1"/>
    </xf>
    <xf numFmtId="0" fontId="9" fillId="2" borderId="29" xfId="0" applyFont="1" applyFill="1" applyBorder="1" applyAlignment="1" applyProtection="1">
      <alignment vertical="center" wrapText="1"/>
      <protection hidden="1"/>
    </xf>
    <xf numFmtId="0" fontId="9" fillId="6" borderId="29" xfId="0" applyFont="1" applyFill="1" applyBorder="1" applyAlignment="1" applyProtection="1">
      <alignment vertical="center" wrapText="1"/>
      <protection hidden="1"/>
    </xf>
    <xf numFmtId="1" fontId="2" fillId="3" borderId="33" xfId="0" applyNumberFormat="1" applyFont="1" applyFill="1" applyBorder="1" applyAlignment="1" applyProtection="1">
      <alignment vertical="center"/>
      <protection hidden="1"/>
    </xf>
    <xf numFmtId="0" fontId="9" fillId="2" borderId="33" xfId="0" applyFont="1" applyFill="1" applyBorder="1" applyAlignment="1" applyProtection="1">
      <alignment vertical="center" wrapText="1"/>
      <protection hidden="1"/>
    </xf>
    <xf numFmtId="1" fontId="2" fillId="6" borderId="33" xfId="0" applyNumberFormat="1" applyFont="1" applyFill="1" applyBorder="1" applyAlignment="1" applyProtection="1">
      <alignment vertical="center"/>
      <protection hidden="1"/>
    </xf>
    <xf numFmtId="0" fontId="9" fillId="6" borderId="33" xfId="0" applyFont="1" applyFill="1" applyBorder="1" applyAlignment="1" applyProtection="1">
      <alignment vertical="center" wrapText="1"/>
      <protection hidden="1"/>
    </xf>
    <xf numFmtId="0" fontId="0" fillId="0" borderId="0" xfId="0" applyFill="1" applyBorder="1" applyAlignment="1" applyProtection="1">
      <alignment horizontal="center" vertical="center"/>
      <protection hidden="1"/>
    </xf>
    <xf numFmtId="1" fontId="2" fillId="3" borderId="25" xfId="0" applyNumberFormat="1" applyFont="1" applyFill="1" applyBorder="1" applyAlignment="1" applyProtection="1">
      <alignment vertical="center"/>
      <protection hidden="1"/>
    </xf>
    <xf numFmtId="0" fontId="3" fillId="0" borderId="4" xfId="0" applyFont="1" applyBorder="1" applyAlignment="1" applyProtection="1">
      <alignment vertical="center"/>
      <protection hidden="1"/>
    </xf>
    <xf numFmtId="0" fontId="3" fillId="0" borderId="5" xfId="0" applyFont="1" applyBorder="1" applyAlignment="1" applyProtection="1">
      <alignment vertical="center"/>
      <protection hidden="1"/>
    </xf>
    <xf numFmtId="0" fontId="2" fillId="5" borderId="4" xfId="0" applyFont="1" applyFill="1" applyBorder="1" applyAlignment="1" applyProtection="1">
      <protection hidden="1"/>
    </xf>
    <xf numFmtId="0" fontId="2" fillId="5" borderId="5" xfId="0" applyFont="1" applyFill="1" applyBorder="1" applyAlignment="1" applyProtection="1">
      <protection hidden="1"/>
    </xf>
    <xf numFmtId="0" fontId="2" fillId="5" borderId="6" xfId="0" applyFont="1" applyFill="1" applyBorder="1" applyAlignment="1" applyProtection="1">
      <protection hidden="1"/>
    </xf>
    <xf numFmtId="0" fontId="0" fillId="0" borderId="3" xfId="0" applyBorder="1" applyProtection="1">
      <protection hidden="1"/>
    </xf>
    <xf numFmtId="0" fontId="3" fillId="0" borderId="7" xfId="0" applyFont="1" applyBorder="1" applyAlignment="1" applyProtection="1">
      <alignment horizontal="center" vertical="center"/>
      <protection hidden="1"/>
    </xf>
    <xf numFmtId="164" fontId="5" fillId="3" borderId="8" xfId="0" applyNumberFormat="1" applyFont="1" applyFill="1" applyBorder="1" applyAlignment="1" applyProtection="1">
      <alignment horizontal="center"/>
      <protection hidden="1"/>
    </xf>
    <xf numFmtId="164" fontId="2" fillId="6" borderId="9" xfId="0" applyNumberFormat="1" applyFont="1" applyFill="1" applyBorder="1" applyAlignment="1" applyProtection="1">
      <alignment horizontal="center"/>
      <protection hidden="1"/>
    </xf>
    <xf numFmtId="0" fontId="4" fillId="0" borderId="0" xfId="0" applyFont="1" applyBorder="1" applyAlignment="1" applyProtection="1">
      <alignment vertical="center"/>
      <protection hidden="1"/>
    </xf>
    <xf numFmtId="0" fontId="10" fillId="0" borderId="0" xfId="0" applyFont="1" applyFill="1" applyBorder="1" applyProtection="1">
      <protection hidden="1"/>
    </xf>
    <xf numFmtId="0" fontId="9" fillId="0" borderId="0" xfId="0" applyFont="1" applyFill="1" applyBorder="1" applyAlignment="1" applyProtection="1">
      <alignment horizontal="center" vertical="center" wrapText="1"/>
      <protection hidden="1"/>
    </xf>
    <xf numFmtId="0" fontId="3" fillId="0" borderId="0" xfId="0" applyFont="1" applyBorder="1" applyAlignment="1" applyProtection="1">
      <alignment vertical="center" wrapText="1"/>
      <protection hidden="1"/>
    </xf>
    <xf numFmtId="0" fontId="16" fillId="0" borderId="0" xfId="0" applyFont="1" applyProtection="1">
      <protection hidden="1"/>
    </xf>
    <xf numFmtId="0" fontId="16" fillId="0" borderId="0" xfId="0" applyFont="1" applyFill="1" applyBorder="1" applyAlignment="1" applyProtection="1">
      <alignment wrapText="1"/>
      <protection hidden="1"/>
    </xf>
    <xf numFmtId="0" fontId="14" fillId="0" borderId="0" xfId="0" applyFont="1" applyProtection="1">
      <protection hidden="1"/>
    </xf>
    <xf numFmtId="0" fontId="16" fillId="0" borderId="0" xfId="0" applyFont="1" applyFill="1" applyBorder="1" applyAlignment="1" applyProtection="1">
      <alignment vertical="top" wrapText="1"/>
      <protection hidden="1"/>
    </xf>
    <xf numFmtId="0" fontId="7" fillId="0" borderId="0" xfId="0" applyFont="1" applyFill="1" applyBorder="1" applyAlignment="1" applyProtection="1">
      <alignment vertical="center" wrapText="1"/>
      <protection hidden="1"/>
    </xf>
    <xf numFmtId="0" fontId="0" fillId="0" borderId="0" xfId="0"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wrapText="1"/>
      <protection hidden="1"/>
    </xf>
    <xf numFmtId="164" fontId="2" fillId="0" borderId="0" xfId="0" applyNumberFormat="1" applyFont="1" applyFill="1" applyBorder="1" applyAlignment="1" applyProtection="1">
      <alignment vertical="center"/>
      <protection hidden="1"/>
    </xf>
    <xf numFmtId="0" fontId="12" fillId="0" borderId="0" xfId="0" applyFont="1" applyFill="1" applyBorder="1" applyAlignment="1" applyProtection="1">
      <alignment vertical="center"/>
      <protection hidden="1"/>
    </xf>
    <xf numFmtId="0" fontId="19" fillId="0" borderId="0" xfId="0" applyFont="1" applyBorder="1" applyProtection="1">
      <protection hidden="1"/>
    </xf>
    <xf numFmtId="0" fontId="16" fillId="0" borderId="0" xfId="0" applyFont="1" applyBorder="1" applyProtection="1">
      <protection hidden="1"/>
    </xf>
    <xf numFmtId="0" fontId="19" fillId="0" borderId="0" xfId="0" applyFont="1" applyFill="1" applyBorder="1" applyProtection="1">
      <protection hidden="1"/>
    </xf>
    <xf numFmtId="1" fontId="2" fillId="6" borderId="29" xfId="0" applyNumberFormat="1" applyFont="1" applyFill="1" applyBorder="1" applyAlignment="1" applyProtection="1">
      <alignment horizontal="center"/>
      <protection hidden="1"/>
    </xf>
    <xf numFmtId="1" fontId="2" fillId="6" borderId="18" xfId="0" applyNumberFormat="1" applyFont="1" applyFill="1" applyBorder="1" applyAlignment="1" applyProtection="1">
      <alignment horizontal="center"/>
      <protection hidden="1"/>
    </xf>
    <xf numFmtId="1" fontId="2" fillId="6" borderId="31" xfId="0" applyNumberFormat="1" applyFont="1" applyFill="1" applyBorder="1" applyAlignment="1" applyProtection="1">
      <alignment horizontal="center"/>
      <protection hidden="1"/>
    </xf>
    <xf numFmtId="164" fontId="2" fillId="4" borderId="29" xfId="0" applyNumberFormat="1" applyFont="1" applyFill="1" applyBorder="1" applyAlignment="1" applyProtection="1">
      <alignment horizontal="center"/>
      <protection hidden="1"/>
    </xf>
    <xf numFmtId="164" fontId="2" fillId="4" borderId="18" xfId="0" applyNumberFormat="1" applyFont="1" applyFill="1" applyBorder="1" applyAlignment="1" applyProtection="1">
      <alignment horizontal="center"/>
      <protection hidden="1"/>
    </xf>
    <xf numFmtId="164" fontId="2" fillId="4" borderId="31" xfId="0" applyNumberFormat="1" applyFont="1" applyFill="1" applyBorder="1" applyAlignment="1" applyProtection="1">
      <alignment horizontal="center"/>
      <protection hidden="1"/>
    </xf>
    <xf numFmtId="1" fontId="2" fillId="4" borderId="29" xfId="0" applyNumberFormat="1" applyFont="1" applyFill="1" applyBorder="1" applyAlignment="1" applyProtection="1">
      <alignment horizontal="center"/>
      <protection hidden="1"/>
    </xf>
    <xf numFmtId="1" fontId="2" fillId="4" borderId="18" xfId="0" applyNumberFormat="1" applyFont="1" applyFill="1" applyBorder="1" applyAlignment="1" applyProtection="1">
      <alignment horizontal="center"/>
      <protection hidden="1"/>
    </xf>
    <xf numFmtId="0" fontId="6" fillId="0" borderId="7" xfId="0" applyFont="1" applyBorder="1" applyAlignment="1" applyProtection="1">
      <protection hidden="1"/>
    </xf>
    <xf numFmtId="0" fontId="6" fillId="0" borderId="8" xfId="0" applyFont="1" applyBorder="1" applyAlignment="1" applyProtection="1">
      <protection hidden="1"/>
    </xf>
    <xf numFmtId="0" fontId="6" fillId="0" borderId="9" xfId="0" applyFont="1" applyBorder="1" applyAlignment="1" applyProtection="1">
      <protection hidden="1"/>
    </xf>
    <xf numFmtId="0" fontId="20" fillId="0" borderId="4" xfId="0" applyFont="1" applyBorder="1" applyAlignment="1" applyProtection="1">
      <protection hidden="1"/>
    </xf>
    <xf numFmtId="0" fontId="20" fillId="0" borderId="5" xfId="0" applyFont="1" applyBorder="1" applyAlignment="1" applyProtection="1">
      <protection hidden="1"/>
    </xf>
    <xf numFmtId="0" fontId="20" fillId="0" borderId="6" xfId="0" applyFont="1" applyBorder="1" applyAlignment="1" applyProtection="1">
      <protection hidden="1"/>
    </xf>
    <xf numFmtId="0" fontId="0" fillId="0" borderId="8" xfId="0" applyBorder="1" applyProtection="1">
      <protection hidden="1"/>
    </xf>
    <xf numFmtId="164" fontId="2" fillId="6" borderId="2" xfId="0" applyNumberFormat="1" applyFont="1" applyFill="1" applyBorder="1" applyAlignment="1" applyProtection="1">
      <alignment horizontal="center" vertical="center"/>
      <protection hidden="1"/>
    </xf>
    <xf numFmtId="164" fontId="2" fillId="6" borderId="3" xfId="0" applyNumberFormat="1" applyFont="1" applyFill="1" applyBorder="1" applyAlignment="1" applyProtection="1">
      <alignment horizontal="center" vertical="center"/>
      <protection hidden="1"/>
    </xf>
    <xf numFmtId="164" fontId="2" fillId="2" borderId="8" xfId="0" applyNumberFormat="1" applyFont="1" applyFill="1" applyBorder="1" applyAlignment="1" applyProtection="1">
      <alignment horizontal="center" vertical="center"/>
      <protection hidden="1"/>
    </xf>
    <xf numFmtId="164" fontId="2" fillId="2" borderId="9" xfId="0" applyNumberFormat="1" applyFont="1" applyFill="1" applyBorder="1" applyAlignment="1" applyProtection="1">
      <alignment horizontal="center" vertical="center"/>
      <protection hidden="1"/>
    </xf>
    <xf numFmtId="164" fontId="2" fillId="6" borderId="1" xfId="0" applyNumberFormat="1" applyFont="1" applyFill="1" applyBorder="1" applyAlignment="1" applyProtection="1">
      <alignment horizontal="center" vertical="center"/>
      <protection hidden="1"/>
    </xf>
    <xf numFmtId="164" fontId="2" fillId="2" borderId="7" xfId="0" applyNumberFormat="1" applyFont="1" applyFill="1" applyBorder="1" applyAlignment="1" applyProtection="1">
      <alignment horizontal="center" vertical="center"/>
      <protection hidden="1"/>
    </xf>
    <xf numFmtId="164" fontId="2" fillId="2" borderId="9" xfId="0" applyNumberFormat="1" applyFont="1" applyFill="1" applyBorder="1" applyAlignment="1" applyProtection="1">
      <alignment horizontal="center"/>
      <protection hidden="1"/>
    </xf>
    <xf numFmtId="164" fontId="2" fillId="6" borderId="22" xfId="0" applyNumberFormat="1" applyFont="1" applyFill="1" applyBorder="1" applyAlignment="1" applyProtection="1">
      <alignment horizontal="center"/>
      <protection hidden="1"/>
    </xf>
    <xf numFmtId="0" fontId="1" fillId="0" borderId="0" xfId="0" applyFont="1" applyBorder="1" applyAlignment="1" applyProtection="1">
      <alignment horizontal="left" vertical="center"/>
      <protection hidden="1"/>
    </xf>
    <xf numFmtId="0" fontId="23" fillId="0" borderId="0" xfId="0" applyFont="1" applyBorder="1" applyAlignment="1" applyProtection="1">
      <alignment vertical="center"/>
      <protection hidden="1"/>
    </xf>
    <xf numFmtId="0" fontId="24" fillId="0" borderId="0" xfId="0" applyFont="1" applyBorder="1" applyAlignment="1" applyProtection="1">
      <alignment vertical="center"/>
      <protection hidden="1"/>
    </xf>
    <xf numFmtId="0" fontId="19" fillId="9" borderId="41" xfId="0" applyFont="1" applyFill="1" applyBorder="1" applyAlignment="1" applyProtection="1">
      <alignment vertical="center"/>
      <protection hidden="1"/>
    </xf>
    <xf numFmtId="0" fontId="19" fillId="9" borderId="41" xfId="0" applyFont="1" applyFill="1" applyBorder="1" applyAlignment="1" applyProtection="1">
      <alignment vertical="top"/>
      <protection hidden="1"/>
    </xf>
    <xf numFmtId="164" fontId="21" fillId="0" borderId="0" xfId="0" applyNumberFormat="1" applyFont="1" applyFill="1" applyBorder="1" applyAlignment="1" applyProtection="1">
      <alignment vertical="center"/>
      <protection hidden="1"/>
    </xf>
    <xf numFmtId="2" fontId="22" fillId="0" borderId="0" xfId="0" applyNumberFormat="1" applyFont="1" applyFill="1" applyBorder="1" applyAlignment="1" applyProtection="1">
      <alignment vertical="center"/>
      <protection hidden="1"/>
    </xf>
    <xf numFmtId="0" fontId="16" fillId="9" borderId="18" xfId="0" applyFont="1" applyFill="1" applyBorder="1" applyAlignment="1" applyProtection="1">
      <alignment horizontal="center" vertical="center"/>
      <protection locked="0"/>
    </xf>
    <xf numFmtId="0" fontId="16" fillId="9" borderId="11" xfId="0" applyFont="1" applyFill="1" applyBorder="1" applyAlignment="1" applyProtection="1">
      <alignment horizontal="center" vertical="center"/>
      <protection locked="0"/>
    </xf>
    <xf numFmtId="0" fontId="9" fillId="0" borderId="0" xfId="0" applyFont="1" applyFill="1" applyBorder="1" applyAlignment="1" applyProtection="1">
      <protection hidden="1"/>
    </xf>
    <xf numFmtId="0" fontId="19" fillId="9" borderId="43" xfId="0" applyFont="1" applyFill="1" applyBorder="1" applyAlignment="1" applyProtection="1">
      <alignment vertical="center"/>
      <protection hidden="1"/>
    </xf>
    <xf numFmtId="0" fontId="19" fillId="9" borderId="44" xfId="0" applyFont="1" applyFill="1" applyBorder="1" applyAlignment="1" applyProtection="1">
      <alignment vertical="center"/>
      <protection hidden="1"/>
    </xf>
    <xf numFmtId="0" fontId="19" fillId="9" borderId="38" xfId="0" applyFont="1" applyFill="1" applyBorder="1" applyAlignment="1" applyProtection="1">
      <alignment vertical="center"/>
      <protection hidden="1"/>
    </xf>
    <xf numFmtId="0" fontId="19" fillId="9" borderId="38" xfId="0" applyFont="1" applyFill="1" applyBorder="1" applyAlignment="1" applyProtection="1">
      <alignment vertical="top"/>
      <protection hidden="1"/>
    </xf>
    <xf numFmtId="164" fontId="14" fillId="2" borderId="29" xfId="0" applyNumberFormat="1" applyFont="1" applyFill="1" applyBorder="1" applyAlignment="1" applyProtection="1">
      <alignment horizontal="center" vertical="center" wrapText="1"/>
      <protection hidden="1"/>
    </xf>
    <xf numFmtId="164" fontId="10" fillId="2" borderId="30" xfId="0" applyNumberFormat="1" applyFont="1" applyFill="1" applyBorder="1" applyAlignment="1" applyProtection="1">
      <alignment horizontal="center" vertical="center" wrapText="1"/>
      <protection hidden="1"/>
    </xf>
    <xf numFmtId="1" fontId="3" fillId="4" borderId="1" xfId="0" applyNumberFormat="1" applyFont="1" applyFill="1" applyBorder="1" applyAlignment="1" applyProtection="1">
      <alignment horizontal="center"/>
      <protection hidden="1"/>
    </xf>
    <xf numFmtId="1" fontId="3" fillId="4" borderId="2" xfId="0" applyNumberFormat="1" applyFont="1" applyFill="1" applyBorder="1" applyAlignment="1" applyProtection="1">
      <alignment horizontal="center"/>
      <protection hidden="1"/>
    </xf>
    <xf numFmtId="1" fontId="3" fillId="4" borderId="3" xfId="0" applyNumberFormat="1" applyFont="1" applyFill="1" applyBorder="1" applyAlignment="1" applyProtection="1">
      <alignment horizontal="center"/>
      <protection hidden="1"/>
    </xf>
    <xf numFmtId="1" fontId="3" fillId="4" borderId="22" xfId="0" applyNumberFormat="1" applyFont="1" applyFill="1" applyBorder="1" applyAlignment="1" applyProtection="1">
      <alignment horizontal="center"/>
      <protection hidden="1"/>
    </xf>
    <xf numFmtId="1" fontId="3" fillId="4" borderId="0" xfId="0" applyNumberFormat="1" applyFont="1" applyFill="1" applyBorder="1" applyAlignment="1" applyProtection="1">
      <alignment horizontal="center"/>
      <protection hidden="1"/>
    </xf>
    <xf numFmtId="1" fontId="3" fillId="4" borderId="16" xfId="0" applyNumberFormat="1" applyFont="1" applyFill="1" applyBorder="1" applyAlignment="1" applyProtection="1">
      <alignment horizontal="center"/>
      <protection hidden="1"/>
    </xf>
    <xf numFmtId="1" fontId="3" fillId="4" borderId="7" xfId="0" applyNumberFormat="1" applyFont="1" applyFill="1" applyBorder="1" applyAlignment="1" applyProtection="1">
      <alignment horizontal="center"/>
      <protection hidden="1"/>
    </xf>
    <xf numFmtId="1" fontId="3" fillId="4" borderId="8" xfId="0" applyNumberFormat="1" applyFont="1" applyFill="1" applyBorder="1" applyAlignment="1" applyProtection="1">
      <alignment horizontal="center"/>
      <protection hidden="1"/>
    </xf>
    <xf numFmtId="1" fontId="3" fillId="4" borderId="9" xfId="0" applyNumberFormat="1" applyFont="1" applyFill="1" applyBorder="1" applyAlignment="1" applyProtection="1">
      <alignment horizontal="center"/>
      <protection hidden="1"/>
    </xf>
    <xf numFmtId="0" fontId="2" fillId="4" borderId="4" xfId="0" applyFont="1" applyFill="1" applyBorder="1" applyAlignment="1" applyProtection="1">
      <protection hidden="1"/>
    </xf>
    <xf numFmtId="0" fontId="2" fillId="4" borderId="5" xfId="0" applyFont="1" applyFill="1" applyBorder="1" applyAlignment="1" applyProtection="1">
      <protection hidden="1"/>
    </xf>
    <xf numFmtId="0" fontId="2" fillId="4" borderId="6" xfId="0" applyFont="1" applyFill="1" applyBorder="1" applyAlignment="1" applyProtection="1">
      <protection hidden="1"/>
    </xf>
    <xf numFmtId="0" fontId="23" fillId="0" borderId="0" xfId="0" applyFont="1" applyBorder="1" applyAlignment="1" applyProtection="1">
      <alignment horizontal="center" vertical="center"/>
      <protection hidden="1"/>
    </xf>
    <xf numFmtId="0" fontId="16" fillId="0" borderId="41" xfId="0" applyFont="1" applyBorder="1" applyAlignment="1" applyProtection="1">
      <alignment horizontal="left" vertical="top" wrapText="1"/>
      <protection hidden="1"/>
    </xf>
    <xf numFmtId="0" fontId="16" fillId="2" borderId="10" xfId="0" applyFont="1" applyFill="1" applyBorder="1" applyAlignment="1" applyProtection="1">
      <alignment horizontal="left" vertical="top" wrapText="1"/>
      <protection hidden="1"/>
    </xf>
    <xf numFmtId="0" fontId="3" fillId="0" borderId="0" xfId="0" applyFont="1" applyFill="1" applyBorder="1" applyAlignment="1" applyProtection="1">
      <alignment horizontal="center" vertical="center" wrapText="1"/>
      <protection hidden="1"/>
    </xf>
    <xf numFmtId="164" fontId="14" fillId="2" borderId="28" xfId="0" applyNumberFormat="1" applyFont="1" applyFill="1" applyBorder="1" applyAlignment="1" applyProtection="1">
      <alignment horizontal="center" vertical="center" wrapText="1"/>
      <protection hidden="1"/>
    </xf>
    <xf numFmtId="0" fontId="15" fillId="0" borderId="22" xfId="0" applyFont="1" applyFill="1" applyBorder="1" applyProtection="1">
      <protection hidden="1"/>
    </xf>
    <xf numFmtId="2" fontId="15" fillId="0" borderId="22" xfId="0" applyNumberFormat="1" applyFont="1" applyFill="1" applyBorder="1" applyProtection="1">
      <protection hidden="1"/>
    </xf>
    <xf numFmtId="0" fontId="18" fillId="7" borderId="22" xfId="0" applyFont="1" applyFill="1" applyBorder="1" applyAlignment="1" applyProtection="1">
      <alignment vertical="top" wrapText="1"/>
      <protection hidden="1"/>
    </xf>
    <xf numFmtId="0" fontId="15" fillId="7" borderId="22" xfId="0" applyFont="1" applyFill="1" applyBorder="1" applyAlignment="1" applyProtection="1">
      <alignment vertical="center" wrapText="1"/>
      <protection hidden="1"/>
    </xf>
    <xf numFmtId="2" fontId="18" fillId="7" borderId="22" xfId="0" applyNumberFormat="1" applyFont="1" applyFill="1" applyBorder="1" applyAlignment="1" applyProtection="1">
      <alignment vertical="center"/>
      <protection hidden="1"/>
    </xf>
    <xf numFmtId="0" fontId="15" fillId="7" borderId="22" xfId="0" applyFont="1" applyFill="1" applyBorder="1" applyProtection="1">
      <protection hidden="1"/>
    </xf>
    <xf numFmtId="0" fontId="16" fillId="0" borderId="0" xfId="0" applyFont="1" applyBorder="1" applyAlignment="1" applyProtection="1">
      <alignment horizontal="left" vertical="top" wrapText="1"/>
      <protection hidden="1"/>
    </xf>
    <xf numFmtId="0" fontId="16" fillId="0" borderId="0" xfId="0" applyFont="1" applyBorder="1" applyAlignment="1" applyProtection="1">
      <alignment vertical="top" wrapText="1"/>
      <protection hidden="1"/>
    </xf>
    <xf numFmtId="0" fontId="19" fillId="0" borderId="0" xfId="0" applyFont="1" applyFill="1" applyBorder="1" applyAlignment="1" applyProtection="1">
      <alignment horizontal="center" vertical="top" wrapText="1"/>
      <protection hidden="1"/>
    </xf>
    <xf numFmtId="0" fontId="5" fillId="10" borderId="18" xfId="0" applyFont="1" applyFill="1" applyBorder="1" applyAlignment="1" applyProtection="1">
      <alignment horizontal="center" vertical="center" wrapText="1"/>
      <protection hidden="1"/>
    </xf>
    <xf numFmtId="0" fontId="5" fillId="10" borderId="11" xfId="0" applyFont="1" applyFill="1" applyBorder="1" applyAlignment="1" applyProtection="1">
      <alignment horizontal="center" vertical="center" wrapText="1"/>
      <protection hidden="1"/>
    </xf>
    <xf numFmtId="1" fontId="13" fillId="10" borderId="18" xfId="0" applyNumberFormat="1" applyFont="1" applyFill="1" applyBorder="1" applyAlignment="1" applyProtection="1">
      <alignment horizontal="center" vertical="center"/>
      <protection hidden="1"/>
    </xf>
    <xf numFmtId="1" fontId="13" fillId="10" borderId="11" xfId="0" applyNumberFormat="1" applyFont="1" applyFill="1" applyBorder="1" applyAlignment="1" applyProtection="1">
      <alignment horizontal="center" vertical="center"/>
      <protection hidden="1"/>
    </xf>
    <xf numFmtId="0" fontId="15" fillId="0" borderId="0" xfId="0" applyFont="1" applyBorder="1" applyAlignment="1" applyProtection="1">
      <protection hidden="1"/>
    </xf>
    <xf numFmtId="0" fontId="19" fillId="9" borderId="18" xfId="0" applyFont="1" applyFill="1" applyBorder="1" applyAlignment="1" applyProtection="1">
      <protection hidden="1"/>
    </xf>
    <xf numFmtId="0" fontId="16" fillId="9" borderId="18" xfId="0" applyFont="1" applyFill="1" applyBorder="1" applyAlignment="1" applyProtection="1">
      <protection hidden="1"/>
    </xf>
    <xf numFmtId="0" fontId="16" fillId="9" borderId="18" xfId="0" applyFont="1" applyFill="1" applyBorder="1" applyAlignment="1" applyProtection="1">
      <alignment horizontal="right"/>
      <protection hidden="1"/>
    </xf>
    <xf numFmtId="0" fontId="27" fillId="0" borderId="0" xfId="0" applyFont="1" applyBorder="1" applyAlignment="1" applyProtection="1">
      <alignment vertical="center"/>
      <protection hidden="1"/>
    </xf>
    <xf numFmtId="0" fontId="12" fillId="0" borderId="0" xfId="0" applyFont="1" applyAlignment="1" applyProtection="1">
      <alignment vertical="top" wrapText="1"/>
      <protection hidden="1"/>
    </xf>
    <xf numFmtId="0" fontId="28" fillId="0" borderId="0" xfId="0" applyFont="1" applyFill="1" applyBorder="1" applyAlignment="1" applyProtection="1">
      <alignment horizontal="left" vertical="center" wrapText="1"/>
      <protection hidden="1"/>
    </xf>
    <xf numFmtId="0" fontId="28" fillId="0" borderId="0" xfId="0" applyFont="1" applyFill="1" applyBorder="1" applyProtection="1">
      <protection hidden="1"/>
    </xf>
    <xf numFmtId="0" fontId="0" fillId="0" borderId="0" xfId="0" applyFont="1" applyFill="1" applyBorder="1" applyAlignment="1" applyProtection="1">
      <alignment horizontal="center" vertical="center"/>
      <protection hidden="1"/>
    </xf>
    <xf numFmtId="0" fontId="0" fillId="0" borderId="2" xfId="0" applyFont="1" applyFill="1" applyBorder="1" applyAlignment="1" applyProtection="1">
      <alignment horizontal="center" vertical="center"/>
      <protection hidden="1"/>
    </xf>
    <xf numFmtId="2" fontId="11" fillId="0" borderId="0" xfId="0" applyNumberFormat="1" applyFont="1" applyFill="1" applyBorder="1" applyAlignment="1" applyProtection="1">
      <alignment horizontal="center" vertical="center"/>
      <protection hidden="1"/>
    </xf>
    <xf numFmtId="0" fontId="15" fillId="0" borderId="0" xfId="0" applyFont="1" applyProtection="1">
      <protection hidden="1"/>
    </xf>
    <xf numFmtId="165" fontId="0" fillId="0" borderId="0" xfId="0" applyNumberFormat="1" applyProtection="1">
      <protection hidden="1"/>
    </xf>
    <xf numFmtId="165" fontId="15" fillId="0" borderId="0" xfId="0" applyNumberFormat="1" applyFont="1" applyProtection="1">
      <protection hidden="1"/>
    </xf>
    <xf numFmtId="0" fontId="9" fillId="6" borderId="35" xfId="0" applyFont="1" applyFill="1" applyBorder="1" applyAlignment="1" applyProtection="1">
      <alignment horizontal="center" vertical="center" wrapText="1"/>
      <protection hidden="1"/>
    </xf>
    <xf numFmtId="0" fontId="9" fillId="6" borderId="2" xfId="0" applyFont="1" applyFill="1" applyBorder="1" applyAlignment="1" applyProtection="1">
      <alignment horizontal="center" vertical="center" wrapText="1"/>
      <protection hidden="1"/>
    </xf>
    <xf numFmtId="0" fontId="9" fillId="6" borderId="3" xfId="0" applyFont="1" applyFill="1" applyBorder="1" applyAlignment="1" applyProtection="1">
      <alignment horizontal="center" vertical="center" wrapText="1"/>
      <protection hidden="1"/>
    </xf>
    <xf numFmtId="0" fontId="9" fillId="6" borderId="27" xfId="0" applyFont="1" applyFill="1" applyBorder="1" applyAlignment="1" applyProtection="1">
      <alignment horizontal="center" vertical="center" wrapText="1"/>
      <protection hidden="1"/>
    </xf>
    <xf numFmtId="0" fontId="9" fillId="6" borderId="0" xfId="0" applyFont="1" applyFill="1" applyBorder="1" applyAlignment="1" applyProtection="1">
      <alignment horizontal="center" vertical="center" wrapText="1"/>
      <protection hidden="1"/>
    </xf>
    <xf numFmtId="0" fontId="9" fillId="6" borderId="16" xfId="0" applyFont="1" applyFill="1" applyBorder="1" applyAlignment="1" applyProtection="1">
      <alignment horizontal="center" vertical="center" wrapText="1"/>
      <protection hidden="1"/>
    </xf>
    <xf numFmtId="0" fontId="9" fillId="6" borderId="26" xfId="0" applyFont="1" applyFill="1" applyBorder="1" applyAlignment="1" applyProtection="1">
      <alignment horizontal="center" vertical="center" wrapText="1"/>
      <protection hidden="1"/>
    </xf>
    <xf numFmtId="0" fontId="9" fillId="6" borderId="8" xfId="0" applyFont="1" applyFill="1" applyBorder="1" applyAlignment="1" applyProtection="1">
      <alignment horizontal="center" vertical="center" wrapText="1"/>
      <protection hidden="1"/>
    </xf>
    <xf numFmtId="0" fontId="9" fillId="6" borderId="9" xfId="0" applyFont="1" applyFill="1" applyBorder="1" applyAlignment="1" applyProtection="1">
      <alignment horizontal="center" vertical="center" wrapText="1"/>
      <protection hidden="1"/>
    </xf>
    <xf numFmtId="0" fontId="4" fillId="0" borderId="23" xfId="0" applyFont="1" applyBorder="1" applyAlignment="1" applyProtection="1">
      <alignment horizontal="center" vertical="center" textRotation="90" wrapText="1"/>
      <protection hidden="1"/>
    </xf>
    <xf numFmtId="0" fontId="4" fillId="0" borderId="15" xfId="0" applyFont="1" applyBorder="1" applyAlignment="1" applyProtection="1">
      <alignment horizontal="center" vertical="center" textRotation="90" wrapText="1"/>
      <protection hidden="1"/>
    </xf>
    <xf numFmtId="0" fontId="4" fillId="0" borderId="21" xfId="0" applyFont="1" applyBorder="1" applyAlignment="1" applyProtection="1">
      <alignment horizontal="center" vertical="center" textRotation="90" wrapText="1"/>
      <protection hidden="1"/>
    </xf>
    <xf numFmtId="0" fontId="2" fillId="0" borderId="4" xfId="0" applyFont="1" applyBorder="1" applyAlignment="1" applyProtection="1">
      <alignment horizontal="center"/>
      <protection hidden="1"/>
    </xf>
    <xf numFmtId="0" fontId="2" fillId="0" borderId="6" xfId="0" applyFont="1" applyBorder="1" applyAlignment="1" applyProtection="1">
      <alignment horizontal="center"/>
      <protection hidden="1"/>
    </xf>
    <xf numFmtId="0" fontId="16" fillId="0" borderId="36" xfId="0" applyFont="1" applyFill="1" applyBorder="1" applyAlignment="1" applyProtection="1">
      <alignment horizontal="center" vertical="center"/>
      <protection hidden="1"/>
    </xf>
    <xf numFmtId="0" fontId="16" fillId="0" borderId="10" xfId="0" applyFont="1" applyFill="1" applyBorder="1" applyAlignment="1" applyProtection="1">
      <alignment horizontal="center" vertical="center"/>
      <protection hidden="1"/>
    </xf>
    <xf numFmtId="0" fontId="0" fillId="0" borderId="36" xfId="0" applyBorder="1" applyAlignment="1" applyProtection="1">
      <alignment horizontal="center" vertical="center"/>
      <protection hidden="1"/>
    </xf>
    <xf numFmtId="0" fontId="0" fillId="0" borderId="10" xfId="0" applyBorder="1" applyAlignment="1" applyProtection="1">
      <alignment horizontal="center" vertical="center"/>
      <protection hidden="1"/>
    </xf>
    <xf numFmtId="0" fontId="10" fillId="0" borderId="37" xfId="0" applyFont="1" applyBorder="1" applyAlignment="1" applyProtection="1">
      <alignment horizontal="center"/>
      <protection hidden="1"/>
    </xf>
    <xf numFmtId="0" fontId="10" fillId="0" borderId="34" xfId="0" applyFont="1" applyBorder="1" applyAlignment="1" applyProtection="1">
      <alignment horizontal="center"/>
      <protection hidden="1"/>
    </xf>
    <xf numFmtId="0" fontId="10" fillId="0" borderId="38" xfId="0" applyFont="1" applyBorder="1" applyAlignment="1" applyProtection="1">
      <alignment horizontal="center"/>
      <protection hidden="1"/>
    </xf>
    <xf numFmtId="0" fontId="10" fillId="0" borderId="10" xfId="0" applyFont="1" applyBorder="1" applyAlignment="1" applyProtection="1">
      <alignment horizontal="center"/>
      <protection hidden="1"/>
    </xf>
    <xf numFmtId="0" fontId="10" fillId="0" borderId="39" xfId="0" applyFont="1" applyBorder="1" applyAlignment="1" applyProtection="1">
      <alignment horizontal="center"/>
      <protection hidden="1"/>
    </xf>
    <xf numFmtId="0" fontId="10" fillId="0" borderId="19" xfId="0" applyFont="1" applyBorder="1" applyAlignment="1" applyProtection="1">
      <alignment horizontal="center"/>
      <protection hidden="1"/>
    </xf>
    <xf numFmtId="0" fontId="9" fillId="0" borderId="4" xfId="0" applyFont="1" applyBorder="1" applyAlignment="1" applyProtection="1">
      <alignment horizontal="center" vertical="center" wrapText="1"/>
      <protection hidden="1"/>
    </xf>
    <xf numFmtId="0" fontId="9" fillId="0" borderId="5" xfId="0" applyFont="1" applyBorder="1" applyAlignment="1" applyProtection="1">
      <alignment horizontal="center" vertical="center" wrapText="1"/>
      <protection hidden="1"/>
    </xf>
    <xf numFmtId="0" fontId="9" fillId="0" borderId="6" xfId="0" applyFont="1" applyBorder="1" applyAlignment="1" applyProtection="1">
      <alignment horizontal="center" vertical="center" wrapText="1"/>
      <protection hidden="1"/>
    </xf>
    <xf numFmtId="0" fontId="3" fillId="0" borderId="0" xfId="0" applyFont="1" applyBorder="1" applyAlignment="1" applyProtection="1">
      <alignment horizontal="left" vertical="center" wrapText="1"/>
      <protection hidden="1"/>
    </xf>
    <xf numFmtId="0" fontId="3" fillId="0" borderId="35" xfId="0"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0" fontId="3" fillId="0" borderId="27"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3" fillId="0" borderId="26" xfId="0" applyFont="1" applyFill="1" applyBorder="1" applyAlignment="1" applyProtection="1">
      <alignment horizontal="center" vertical="center" wrapText="1"/>
      <protection hidden="1"/>
    </xf>
    <xf numFmtId="0" fontId="3" fillId="0" borderId="8" xfId="0" applyFont="1" applyFill="1" applyBorder="1" applyAlignment="1" applyProtection="1">
      <alignment horizontal="center" vertical="center" wrapText="1"/>
      <protection hidden="1"/>
    </xf>
    <xf numFmtId="0" fontId="16" fillId="0" borderId="0" xfId="0" applyFont="1" applyFill="1" applyAlignment="1" applyProtection="1">
      <alignment horizontal="left" vertical="center" wrapText="1"/>
      <protection hidden="1"/>
    </xf>
    <xf numFmtId="0" fontId="3" fillId="8" borderId="35" xfId="0" applyFont="1" applyFill="1" applyBorder="1" applyAlignment="1" applyProtection="1">
      <alignment horizontal="center" vertical="center" wrapText="1"/>
      <protection hidden="1"/>
    </xf>
    <xf numFmtId="0" fontId="3" fillId="8" borderId="2" xfId="0" applyFont="1" applyFill="1" applyBorder="1" applyAlignment="1" applyProtection="1">
      <alignment horizontal="center" vertical="center" wrapText="1"/>
      <protection hidden="1"/>
    </xf>
    <xf numFmtId="0" fontId="3" fillId="8" borderId="27" xfId="0" applyFont="1" applyFill="1" applyBorder="1" applyAlignment="1" applyProtection="1">
      <alignment horizontal="center" vertical="center" wrapText="1"/>
      <protection hidden="1"/>
    </xf>
    <xf numFmtId="0" fontId="3" fillId="8" borderId="0" xfId="0" applyFont="1" applyFill="1" applyBorder="1" applyAlignment="1" applyProtection="1">
      <alignment horizontal="center" vertical="center" wrapText="1"/>
      <protection hidden="1"/>
    </xf>
    <xf numFmtId="0" fontId="3" fillId="8" borderId="26" xfId="0" applyFont="1" applyFill="1" applyBorder="1" applyAlignment="1" applyProtection="1">
      <alignment horizontal="center" vertical="center" wrapText="1"/>
      <protection hidden="1"/>
    </xf>
    <xf numFmtId="0" fontId="3" fillId="8" borderId="8" xfId="0" applyFont="1" applyFill="1" applyBorder="1" applyAlignment="1" applyProtection="1">
      <alignment horizontal="center" vertical="center" wrapText="1"/>
      <protection hidden="1"/>
    </xf>
    <xf numFmtId="0" fontId="9" fillId="4" borderId="35" xfId="0" applyFont="1" applyFill="1" applyBorder="1" applyAlignment="1" applyProtection="1">
      <alignment horizontal="center" vertical="center" wrapText="1"/>
      <protection hidden="1"/>
    </xf>
    <xf numFmtId="0" fontId="9" fillId="4" borderId="2" xfId="0" applyFont="1" applyFill="1" applyBorder="1" applyAlignment="1" applyProtection="1">
      <alignment horizontal="center" vertical="center" wrapText="1"/>
      <protection hidden="1"/>
    </xf>
    <xf numFmtId="0" fontId="9" fillId="4" borderId="27" xfId="0" applyFont="1" applyFill="1" applyBorder="1" applyAlignment="1" applyProtection="1">
      <alignment horizontal="center" vertical="center" wrapText="1"/>
      <protection hidden="1"/>
    </xf>
    <xf numFmtId="0" fontId="9" fillId="4" borderId="0" xfId="0" applyFont="1" applyFill="1" applyBorder="1" applyAlignment="1" applyProtection="1">
      <alignment horizontal="center" vertical="center" wrapText="1"/>
      <protection hidden="1"/>
    </xf>
    <xf numFmtId="0" fontId="9" fillId="4" borderId="26" xfId="0" applyFont="1" applyFill="1" applyBorder="1" applyAlignment="1" applyProtection="1">
      <alignment horizontal="center" vertical="center" wrapText="1"/>
      <protection hidden="1"/>
    </xf>
    <xf numFmtId="0" fontId="9" fillId="4" borderId="8" xfId="0" applyFont="1" applyFill="1" applyBorder="1" applyAlignment="1" applyProtection="1">
      <alignment horizontal="center" vertical="center" wrapText="1"/>
      <protection hidden="1"/>
    </xf>
    <xf numFmtId="0" fontId="0" fillId="0" borderId="18" xfId="0" applyBorder="1" applyAlignment="1" applyProtection="1">
      <alignment horizontal="center" vertical="center"/>
      <protection hidden="1"/>
    </xf>
    <xf numFmtId="0" fontId="9" fillId="0" borderId="18" xfId="0" applyFont="1" applyBorder="1" applyAlignment="1" applyProtection="1">
      <alignment horizontal="center" vertical="center" wrapText="1"/>
      <protection hidden="1"/>
    </xf>
    <xf numFmtId="0" fontId="16" fillId="0" borderId="0" xfId="0" applyFont="1" applyFill="1" applyBorder="1" applyAlignment="1" applyProtection="1">
      <alignment horizontal="left" vertical="center" wrapText="1"/>
      <protection hidden="1"/>
    </xf>
    <xf numFmtId="0" fontId="16" fillId="0" borderId="0" xfId="0" applyFont="1" applyAlignment="1" applyProtection="1">
      <alignment horizontal="left" vertical="center" wrapText="1"/>
      <protection hidden="1"/>
    </xf>
    <xf numFmtId="0" fontId="9" fillId="0" borderId="0" xfId="0" applyFont="1" applyBorder="1" applyAlignment="1" applyProtection="1">
      <alignment horizontal="left" vertical="center" wrapText="1"/>
      <protection hidden="1"/>
    </xf>
    <xf numFmtId="0" fontId="16" fillId="0" borderId="18" xfId="0" applyFont="1" applyFill="1" applyBorder="1" applyAlignment="1" applyProtection="1">
      <alignment horizontal="center" vertical="center"/>
      <protection hidden="1"/>
    </xf>
    <xf numFmtId="0" fontId="2" fillId="0" borderId="5" xfId="0" applyFont="1" applyBorder="1" applyAlignment="1" applyProtection="1">
      <alignment horizontal="center"/>
      <protection hidden="1"/>
    </xf>
    <xf numFmtId="0" fontId="2" fillId="0" borderId="4" xfId="0" applyFont="1" applyBorder="1" applyAlignment="1" applyProtection="1">
      <alignment horizontal="center" vertical="center"/>
      <protection hidden="1"/>
    </xf>
    <xf numFmtId="0" fontId="2" fillId="0" borderId="5" xfId="0" applyFont="1" applyBorder="1" applyAlignment="1" applyProtection="1">
      <alignment horizontal="center" vertical="center"/>
      <protection hidden="1"/>
    </xf>
    <xf numFmtId="0" fontId="2" fillId="0" borderId="6"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7" fillId="0" borderId="2" xfId="0" applyFont="1" applyBorder="1" applyAlignment="1" applyProtection="1">
      <alignment horizontal="center" vertical="center" wrapText="1"/>
      <protection hidden="1"/>
    </xf>
    <xf numFmtId="0" fontId="7" fillId="0" borderId="3" xfId="0" applyFont="1" applyBorder="1" applyAlignment="1" applyProtection="1">
      <alignment horizontal="center" vertical="center" wrapText="1"/>
      <protection hidden="1"/>
    </xf>
    <xf numFmtId="0" fontId="7" fillId="0" borderId="22" xfId="0" applyFont="1" applyBorder="1" applyAlignment="1" applyProtection="1">
      <alignment horizontal="center" vertical="center" wrapText="1"/>
      <protection hidden="1"/>
    </xf>
    <xf numFmtId="0" fontId="7" fillId="0" borderId="0" xfId="0" applyFont="1" applyBorder="1" applyAlignment="1" applyProtection="1">
      <alignment horizontal="center" vertical="center" wrapText="1"/>
      <protection hidden="1"/>
    </xf>
    <xf numFmtId="0" fontId="7" fillId="0" borderId="16" xfId="0" applyFont="1" applyBorder="1" applyAlignment="1" applyProtection="1">
      <alignment horizontal="center" vertical="center" wrapText="1"/>
      <protection hidden="1"/>
    </xf>
    <xf numFmtId="0" fontId="7" fillId="0" borderId="7" xfId="0" applyFont="1" applyBorder="1" applyAlignment="1" applyProtection="1">
      <alignment horizontal="center" vertical="center" wrapText="1"/>
      <protection hidden="1"/>
    </xf>
    <xf numFmtId="0" fontId="7" fillId="0" borderId="8" xfId="0" applyFont="1" applyBorder="1" applyAlignment="1" applyProtection="1">
      <alignment horizontal="center" vertical="center" wrapText="1"/>
      <protection hidden="1"/>
    </xf>
    <xf numFmtId="0" fontId="7" fillId="0" borderId="9" xfId="0" applyFont="1" applyBorder="1" applyAlignment="1" applyProtection="1">
      <alignment horizontal="center" vertical="center" wrapText="1"/>
      <protection hidden="1"/>
    </xf>
    <xf numFmtId="0" fontId="0" fillId="0" borderId="4" xfId="0" applyBorder="1" applyAlignment="1" applyProtection="1">
      <alignment horizontal="center"/>
      <protection hidden="1"/>
    </xf>
    <xf numFmtId="0" fontId="0" fillId="0" borderId="6" xfId="0" applyBorder="1" applyAlignment="1" applyProtection="1">
      <alignment horizontal="center"/>
      <protection hidden="1"/>
    </xf>
    <xf numFmtId="1" fontId="3" fillId="0" borderId="4" xfId="0" applyNumberFormat="1" applyFont="1" applyBorder="1" applyAlignment="1" applyProtection="1">
      <alignment horizontal="center"/>
      <protection hidden="1"/>
    </xf>
    <xf numFmtId="1" fontId="3" fillId="0" borderId="5" xfId="0" applyNumberFormat="1" applyFont="1" applyBorder="1" applyAlignment="1" applyProtection="1">
      <alignment horizontal="center"/>
      <protection hidden="1"/>
    </xf>
    <xf numFmtId="1" fontId="3" fillId="0" borderId="6" xfId="0" applyNumberFormat="1" applyFont="1" applyBorder="1" applyAlignment="1" applyProtection="1">
      <alignment horizontal="center"/>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16" fillId="0" borderId="22" xfId="0" applyFont="1" applyBorder="1" applyAlignment="1" applyProtection="1">
      <alignment horizontal="center" vertical="center" wrapText="1"/>
      <protection hidden="1"/>
    </xf>
    <xf numFmtId="0" fontId="16" fillId="0" borderId="0" xfId="0" applyFont="1" applyBorder="1" applyAlignment="1" applyProtection="1">
      <alignment horizontal="center" vertical="center" wrapText="1"/>
      <protection hidden="1"/>
    </xf>
    <xf numFmtId="0" fontId="16" fillId="0" borderId="16"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8" xfId="0" applyFont="1" applyBorder="1" applyAlignment="1" applyProtection="1">
      <alignment horizontal="center" vertical="center" wrapText="1"/>
      <protection hidden="1"/>
    </xf>
    <xf numFmtId="0" fontId="16"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wrapText="1"/>
      <protection hidden="1"/>
    </xf>
    <xf numFmtId="0" fontId="2" fillId="0" borderId="3" xfId="0" applyFont="1" applyBorder="1" applyAlignment="1" applyProtection="1">
      <alignment horizontal="center" wrapText="1"/>
      <protection hidden="1"/>
    </xf>
    <xf numFmtId="0" fontId="2" fillId="0" borderId="7" xfId="0" applyFont="1" applyBorder="1" applyAlignment="1" applyProtection="1">
      <alignment horizontal="center" wrapText="1"/>
      <protection hidden="1"/>
    </xf>
    <xf numFmtId="0" fontId="2" fillId="0" borderId="9" xfId="0" applyFont="1" applyBorder="1" applyAlignment="1" applyProtection="1">
      <alignment horizontal="center" wrapText="1"/>
      <protection hidden="1"/>
    </xf>
    <xf numFmtId="0" fontId="2" fillId="0" borderId="7" xfId="0" applyFont="1" applyBorder="1" applyAlignment="1" applyProtection="1">
      <alignment horizontal="center"/>
      <protection hidden="1"/>
    </xf>
    <xf numFmtId="0" fontId="2" fillId="0" borderId="9" xfId="0" applyFont="1" applyBorder="1" applyAlignment="1" applyProtection="1">
      <alignment horizontal="center"/>
      <protection hidden="1"/>
    </xf>
    <xf numFmtId="0" fontId="28" fillId="6" borderId="0" xfId="0" applyFont="1" applyFill="1" applyAlignment="1" applyProtection="1">
      <alignment horizontal="left" vertical="center" wrapText="1"/>
      <protection hidden="1"/>
    </xf>
    <xf numFmtId="0" fontId="28" fillId="4" borderId="0" xfId="0" applyFont="1" applyFill="1" applyAlignment="1" applyProtection="1">
      <alignment horizontal="center" vertical="top" wrapText="1"/>
      <protection hidden="1"/>
    </xf>
    <xf numFmtId="0" fontId="16" fillId="0" borderId="0" xfId="0" applyFont="1" applyAlignment="1" applyProtection="1">
      <alignment horizontal="center" vertical="center" wrapText="1"/>
      <protection hidden="1"/>
    </xf>
    <xf numFmtId="0" fontId="16" fillId="0" borderId="0" xfId="0" applyFont="1" applyAlignment="1" applyProtection="1">
      <alignment horizontal="center" wrapText="1"/>
      <protection hidden="1"/>
    </xf>
    <xf numFmtId="0" fontId="2" fillId="0" borderId="1"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8" xfId="0" applyFont="1" applyBorder="1" applyAlignment="1" applyProtection="1">
      <alignment horizontal="center" vertical="center" wrapText="1"/>
      <protection hidden="1"/>
    </xf>
    <xf numFmtId="0" fontId="2" fillId="0" borderId="9" xfId="0" applyFont="1" applyBorder="1" applyAlignment="1" applyProtection="1">
      <alignment horizontal="center" vertical="center" wrapText="1"/>
      <protection hidden="1"/>
    </xf>
    <xf numFmtId="0" fontId="2" fillId="0" borderId="22" xfId="0" applyFont="1" applyBorder="1" applyAlignment="1" applyProtection="1">
      <alignment horizontal="right" vertical="center"/>
      <protection hidden="1"/>
    </xf>
    <xf numFmtId="0" fontId="2" fillId="0" borderId="0" xfId="0" applyFont="1" applyBorder="1" applyAlignment="1" applyProtection="1">
      <alignment horizontal="right" vertical="center"/>
      <protection hidden="1"/>
    </xf>
    <xf numFmtId="0" fontId="2" fillId="0" borderId="16" xfId="0" applyFont="1" applyBorder="1" applyAlignment="1" applyProtection="1">
      <alignment horizontal="right" vertical="center"/>
      <protection hidden="1"/>
    </xf>
    <xf numFmtId="0" fontId="2" fillId="0" borderId="39" xfId="0" applyFont="1" applyBorder="1" applyAlignment="1" applyProtection="1">
      <alignment horizontal="left" vertical="center"/>
      <protection hidden="1"/>
    </xf>
    <xf numFmtId="0" fontId="2" fillId="0" borderId="45" xfId="0" applyFont="1" applyBorder="1" applyAlignment="1" applyProtection="1">
      <alignment horizontal="left" vertical="center"/>
      <protection hidden="1"/>
    </xf>
    <xf numFmtId="0" fontId="2" fillId="0" borderId="47" xfId="0" applyFont="1" applyBorder="1" applyAlignment="1" applyProtection="1">
      <alignment horizontal="left" vertical="center"/>
      <protection hidden="1"/>
    </xf>
    <xf numFmtId="0" fontId="2" fillId="0" borderId="28" xfId="0" applyFont="1" applyBorder="1" applyAlignment="1" applyProtection="1">
      <alignment horizontal="left" vertical="center"/>
      <protection hidden="1"/>
    </xf>
    <xf numFmtId="0" fontId="2" fillId="0" borderId="29" xfId="0" applyFont="1" applyBorder="1" applyAlignment="1" applyProtection="1">
      <alignment horizontal="left" vertical="center"/>
      <protection hidden="1"/>
    </xf>
    <xf numFmtId="0" fontId="2" fillId="0" borderId="30" xfId="0" applyFont="1" applyBorder="1" applyAlignment="1" applyProtection="1">
      <alignment horizontal="left" vertical="center"/>
      <protection hidden="1"/>
    </xf>
    <xf numFmtId="0" fontId="0" fillId="9" borderId="17" xfId="0" applyFont="1" applyFill="1" applyBorder="1" applyAlignment="1" applyProtection="1">
      <alignment horizontal="center" vertical="center"/>
      <protection locked="0"/>
    </xf>
    <xf numFmtId="0" fontId="0" fillId="9" borderId="11" xfId="0" applyFont="1" applyFill="1" applyBorder="1" applyAlignment="1" applyProtection="1">
      <alignment horizontal="center" vertical="center"/>
      <protection locked="0"/>
    </xf>
    <xf numFmtId="0" fontId="0" fillId="9" borderId="18" xfId="0" applyFont="1" applyFill="1" applyBorder="1" applyAlignment="1" applyProtection="1">
      <alignment horizontal="center" vertical="center"/>
      <protection locked="0"/>
    </xf>
    <xf numFmtId="1" fontId="19" fillId="2" borderId="48" xfId="0" applyNumberFormat="1" applyFont="1" applyFill="1" applyBorder="1" applyAlignment="1" applyProtection="1">
      <alignment horizontal="center" vertical="center" wrapText="1"/>
      <protection hidden="1"/>
    </xf>
    <xf numFmtId="1" fontId="19" fillId="2" borderId="20" xfId="0" applyNumberFormat="1"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wrapText="1"/>
      <protection hidden="1"/>
    </xf>
    <xf numFmtId="0" fontId="16" fillId="0" borderId="3" xfId="0" applyFont="1" applyFill="1" applyBorder="1" applyAlignment="1" applyProtection="1">
      <alignment horizontal="center" wrapText="1"/>
      <protection hidden="1"/>
    </xf>
    <xf numFmtId="0" fontId="16" fillId="0" borderId="22" xfId="0" applyFont="1" applyFill="1" applyBorder="1" applyAlignment="1" applyProtection="1">
      <alignment horizontal="center" wrapText="1"/>
      <protection hidden="1"/>
    </xf>
    <xf numFmtId="0" fontId="16" fillId="0" borderId="16" xfId="0" applyFont="1" applyFill="1" applyBorder="1" applyAlignment="1" applyProtection="1">
      <alignment horizontal="center" wrapText="1"/>
      <protection hidden="1"/>
    </xf>
    <xf numFmtId="0" fontId="16" fillId="0" borderId="0" xfId="0" applyFont="1" applyFill="1" applyBorder="1" applyAlignment="1" applyProtection="1">
      <alignment horizontal="center" wrapText="1"/>
      <protection hidden="1"/>
    </xf>
    <xf numFmtId="0" fontId="16" fillId="0" borderId="7" xfId="0" applyFont="1" applyFill="1" applyBorder="1" applyAlignment="1" applyProtection="1">
      <alignment horizontal="center" wrapText="1"/>
      <protection hidden="1"/>
    </xf>
    <xf numFmtId="0" fontId="16" fillId="0" borderId="8" xfId="0" applyFont="1" applyFill="1" applyBorder="1" applyAlignment="1" applyProtection="1">
      <alignment horizontal="center" wrapText="1"/>
      <protection hidden="1"/>
    </xf>
    <xf numFmtId="0" fontId="16" fillId="9" borderId="31" xfId="0" applyFont="1" applyFill="1" applyBorder="1" applyAlignment="1" applyProtection="1">
      <alignment horizontal="center" vertical="center"/>
      <protection locked="0"/>
    </xf>
    <xf numFmtId="0" fontId="16" fillId="9" borderId="20" xfId="0" applyFont="1" applyFill="1" applyBorder="1" applyAlignment="1" applyProtection="1">
      <alignment horizontal="center" vertical="center"/>
      <protection locked="0"/>
    </xf>
    <xf numFmtId="0" fontId="19" fillId="9" borderId="29" xfId="0" applyFont="1" applyFill="1" applyBorder="1" applyAlignment="1" applyProtection="1">
      <alignment horizontal="left" vertical="center"/>
      <protection hidden="1"/>
    </xf>
    <xf numFmtId="0" fontId="16" fillId="0" borderId="28" xfId="0" applyFont="1" applyBorder="1" applyAlignment="1" applyProtection="1">
      <alignment horizontal="left" vertical="center" wrapText="1"/>
      <protection hidden="1"/>
    </xf>
    <xf numFmtId="0" fontId="16" fillId="0" borderId="29" xfId="0" applyFont="1" applyBorder="1" applyAlignment="1" applyProtection="1">
      <alignment horizontal="left" vertical="center" wrapText="1"/>
      <protection hidden="1"/>
    </xf>
    <xf numFmtId="0" fontId="16" fillId="0" borderId="17" xfId="0" applyFont="1" applyBorder="1" applyAlignment="1" applyProtection="1">
      <alignment horizontal="left" vertical="center" wrapText="1"/>
      <protection hidden="1"/>
    </xf>
    <xf numFmtId="0" fontId="16" fillId="0" borderId="18" xfId="0" applyFont="1" applyBorder="1" applyAlignment="1" applyProtection="1">
      <alignment horizontal="left" vertical="center" wrapText="1"/>
      <protection hidden="1"/>
    </xf>
    <xf numFmtId="0" fontId="16" fillId="0" borderId="48" xfId="0" applyFont="1" applyBorder="1" applyAlignment="1" applyProtection="1">
      <alignment horizontal="left" vertical="center" wrapText="1"/>
      <protection hidden="1"/>
    </xf>
    <xf numFmtId="0" fontId="16" fillId="0" borderId="31" xfId="0" applyFont="1" applyBorder="1" applyAlignment="1" applyProtection="1">
      <alignment horizontal="left" vertical="center" wrapText="1"/>
      <protection hidden="1"/>
    </xf>
    <xf numFmtId="0" fontId="16" fillId="2" borderId="29" xfId="0" applyFont="1" applyFill="1" applyBorder="1" applyAlignment="1" applyProtection="1">
      <alignment horizontal="center" vertical="top"/>
      <protection hidden="1"/>
    </xf>
    <xf numFmtId="0" fontId="16" fillId="2" borderId="30" xfId="0" applyFont="1" applyFill="1" applyBorder="1" applyAlignment="1" applyProtection="1">
      <alignment horizontal="center" vertical="top"/>
      <protection hidden="1"/>
    </xf>
    <xf numFmtId="0" fontId="20" fillId="2" borderId="38" xfId="0" applyFont="1" applyFill="1" applyBorder="1" applyAlignment="1" applyProtection="1">
      <alignment horizontal="left" vertical="top" wrapText="1"/>
      <protection hidden="1"/>
    </xf>
    <xf numFmtId="0" fontId="20" fillId="2" borderId="41" xfId="0" applyFont="1" applyFill="1" applyBorder="1" applyAlignment="1" applyProtection="1">
      <alignment horizontal="left" vertical="top" wrapText="1"/>
      <protection hidden="1"/>
    </xf>
    <xf numFmtId="0" fontId="20" fillId="2" borderId="10" xfId="0" applyFont="1" applyFill="1" applyBorder="1" applyAlignment="1" applyProtection="1">
      <alignment horizontal="left" vertical="top" wrapText="1"/>
      <protection hidden="1"/>
    </xf>
    <xf numFmtId="0" fontId="19" fillId="2" borderId="28" xfId="0" applyFont="1" applyFill="1" applyBorder="1" applyAlignment="1" applyProtection="1">
      <alignment horizontal="left" vertical="top" wrapText="1"/>
      <protection hidden="1"/>
    </xf>
    <xf numFmtId="0" fontId="19" fillId="2" borderId="29" xfId="0" applyFont="1" applyFill="1" applyBorder="1" applyAlignment="1" applyProtection="1">
      <alignment horizontal="left" vertical="top" wrapText="1"/>
      <protection hidden="1"/>
    </xf>
    <xf numFmtId="0" fontId="19" fillId="2" borderId="28" xfId="0" applyFont="1" applyFill="1" applyBorder="1" applyAlignment="1" applyProtection="1">
      <alignment horizontal="left" vertical="top"/>
      <protection hidden="1"/>
    </xf>
    <xf numFmtId="0" fontId="19" fillId="2" borderId="29" xfId="0" applyFont="1" applyFill="1" applyBorder="1" applyAlignment="1" applyProtection="1">
      <alignment horizontal="left" vertical="top"/>
      <protection hidden="1"/>
    </xf>
    <xf numFmtId="165" fontId="16" fillId="2" borderId="18" xfId="0" applyNumberFormat="1" applyFont="1" applyFill="1" applyBorder="1" applyAlignment="1" applyProtection="1">
      <alignment horizontal="center" vertical="center"/>
      <protection hidden="1"/>
    </xf>
    <xf numFmtId="165" fontId="16" fillId="2" borderId="11" xfId="0" applyNumberFormat="1" applyFont="1" applyFill="1" applyBorder="1" applyAlignment="1" applyProtection="1">
      <alignment horizontal="center" vertical="center"/>
      <protection hidden="1"/>
    </xf>
    <xf numFmtId="0" fontId="29" fillId="0" borderId="4" xfId="0" applyFont="1" applyBorder="1" applyAlignment="1" applyProtection="1">
      <alignment horizontal="center" vertical="center"/>
      <protection hidden="1"/>
    </xf>
    <xf numFmtId="0" fontId="29" fillId="0" borderId="5" xfId="0" applyFont="1" applyBorder="1" applyAlignment="1" applyProtection="1">
      <alignment horizontal="center" vertical="center"/>
      <protection hidden="1"/>
    </xf>
    <xf numFmtId="0" fontId="29" fillId="0" borderId="6" xfId="0" applyFont="1" applyBorder="1" applyAlignment="1" applyProtection="1">
      <alignment horizontal="center" vertical="center"/>
      <protection hidden="1"/>
    </xf>
    <xf numFmtId="0" fontId="0" fillId="9" borderId="28" xfId="0" applyFont="1" applyFill="1" applyBorder="1" applyAlignment="1" applyProtection="1">
      <alignment horizontal="center" vertical="center"/>
      <protection locked="0"/>
    </xf>
    <xf numFmtId="0" fontId="0" fillId="9" borderId="30" xfId="0" applyFont="1" applyFill="1" applyBorder="1" applyAlignment="1" applyProtection="1">
      <alignment horizontal="center" vertical="center"/>
      <protection locked="0"/>
    </xf>
    <xf numFmtId="0" fontId="0" fillId="9" borderId="29" xfId="0" applyFont="1" applyFill="1" applyBorder="1" applyAlignment="1" applyProtection="1">
      <alignment horizontal="center" vertical="center"/>
      <protection locked="0"/>
    </xf>
    <xf numFmtId="0" fontId="0" fillId="9" borderId="31" xfId="0" applyFont="1" applyFill="1" applyBorder="1" applyAlignment="1" applyProtection="1">
      <alignment horizontal="center" vertical="center"/>
      <protection locked="0"/>
    </xf>
    <xf numFmtId="0" fontId="0" fillId="9" borderId="20" xfId="0" applyFont="1" applyFill="1" applyBorder="1" applyAlignment="1" applyProtection="1">
      <alignment horizontal="center" vertical="center"/>
      <protection locked="0"/>
    </xf>
    <xf numFmtId="0" fontId="19" fillId="9" borderId="39" xfId="0" applyFont="1" applyFill="1" applyBorder="1" applyAlignment="1" applyProtection="1">
      <alignment horizontal="left" vertical="top" wrapText="1"/>
      <protection hidden="1"/>
    </xf>
    <xf numFmtId="0" fontId="19" fillId="9" borderId="45" xfId="0" applyFont="1" applyFill="1" applyBorder="1" applyAlignment="1" applyProtection="1">
      <alignment horizontal="left" vertical="top" wrapText="1"/>
      <protection hidden="1"/>
    </xf>
    <xf numFmtId="0" fontId="19" fillId="9" borderId="19" xfId="0" applyFont="1" applyFill="1" applyBorder="1" applyAlignment="1" applyProtection="1">
      <alignment horizontal="left" vertical="top" wrapText="1"/>
      <protection hidden="1"/>
    </xf>
    <xf numFmtId="0" fontId="19" fillId="2" borderId="4" xfId="0" applyFont="1" applyFill="1" applyBorder="1" applyAlignment="1" applyProtection="1">
      <alignment horizontal="center" vertical="center"/>
      <protection hidden="1"/>
    </xf>
    <xf numFmtId="0" fontId="19" fillId="2" borderId="5" xfId="0" applyFont="1" applyFill="1" applyBorder="1" applyAlignment="1" applyProtection="1">
      <alignment horizontal="center" vertical="center"/>
      <protection hidden="1"/>
    </xf>
    <xf numFmtId="0" fontId="19" fillId="2" borderId="6" xfId="0" applyFont="1" applyFill="1" applyBorder="1" applyAlignment="1" applyProtection="1">
      <alignment horizontal="center" vertical="center"/>
      <protection hidden="1"/>
    </xf>
    <xf numFmtId="0" fontId="26" fillId="2" borderId="17" xfId="0" applyFont="1" applyFill="1" applyBorder="1" applyAlignment="1" applyProtection="1">
      <alignment horizontal="left" vertical="top" wrapText="1"/>
      <protection hidden="1"/>
    </xf>
    <xf numFmtId="0" fontId="26" fillId="2" borderId="18" xfId="0" applyFont="1" applyFill="1" applyBorder="1" applyAlignment="1" applyProtection="1">
      <alignment horizontal="left" vertical="top" wrapText="1"/>
      <protection hidden="1"/>
    </xf>
    <xf numFmtId="0" fontId="19" fillId="2" borderId="48" xfId="0" applyFont="1" applyFill="1" applyBorder="1" applyAlignment="1" applyProtection="1">
      <alignment horizontal="center" vertical="top" wrapText="1"/>
      <protection hidden="1"/>
    </xf>
    <xf numFmtId="0" fontId="19" fillId="2" borderId="31" xfId="0" applyFont="1" applyFill="1" applyBorder="1" applyAlignment="1" applyProtection="1">
      <alignment horizontal="center" vertical="top" wrapText="1"/>
      <protection hidden="1"/>
    </xf>
    <xf numFmtId="1" fontId="30" fillId="2" borderId="31" xfId="0" applyNumberFormat="1" applyFont="1" applyFill="1" applyBorder="1" applyAlignment="1" applyProtection="1">
      <alignment horizontal="center" vertical="top" wrapText="1"/>
      <protection hidden="1"/>
    </xf>
    <xf numFmtId="1" fontId="30" fillId="2" borderId="20" xfId="0" applyNumberFormat="1" applyFont="1" applyFill="1" applyBorder="1" applyAlignment="1" applyProtection="1">
      <alignment horizontal="center" vertical="top" wrapText="1"/>
      <protection hidden="1"/>
    </xf>
    <xf numFmtId="1" fontId="19" fillId="2" borderId="36" xfId="0" applyNumberFormat="1" applyFont="1" applyFill="1" applyBorder="1" applyAlignment="1" applyProtection="1">
      <alignment horizontal="center" vertical="center"/>
      <protection hidden="1"/>
    </xf>
    <xf numFmtId="1" fontId="19" fillId="2" borderId="46" xfId="0" applyNumberFormat="1" applyFont="1" applyFill="1" applyBorder="1" applyAlignment="1" applyProtection="1">
      <alignment horizontal="center" vertical="center"/>
      <protection hidden="1"/>
    </xf>
    <xf numFmtId="164" fontId="19" fillId="2" borderId="36" xfId="0" applyNumberFormat="1" applyFont="1" applyFill="1" applyBorder="1" applyAlignment="1" applyProtection="1">
      <alignment horizontal="center" vertical="center"/>
      <protection hidden="1"/>
    </xf>
    <xf numFmtId="164" fontId="19" fillId="2" borderId="46" xfId="0" applyNumberFormat="1" applyFont="1" applyFill="1" applyBorder="1" applyAlignment="1" applyProtection="1">
      <alignment horizontal="center" vertical="center"/>
      <protection hidden="1"/>
    </xf>
    <xf numFmtId="1" fontId="19" fillId="2" borderId="36" xfId="0" applyNumberFormat="1" applyFont="1" applyFill="1" applyBorder="1" applyAlignment="1" applyProtection="1">
      <alignment horizontal="center" vertical="center" wrapText="1"/>
      <protection hidden="1"/>
    </xf>
    <xf numFmtId="1" fontId="19" fillId="2" borderId="46" xfId="0" applyNumberFormat="1" applyFont="1" applyFill="1" applyBorder="1" applyAlignment="1" applyProtection="1">
      <alignment horizontal="center" vertical="center" wrapText="1"/>
      <protection hidden="1"/>
    </xf>
    <xf numFmtId="1" fontId="19" fillId="2" borderId="40" xfId="0" applyNumberFormat="1" applyFont="1" applyFill="1" applyBorder="1" applyAlignment="1" applyProtection="1">
      <alignment horizontal="center" vertical="center" wrapText="1"/>
      <protection hidden="1"/>
    </xf>
    <xf numFmtId="1" fontId="19" fillId="2" borderId="47" xfId="0" applyNumberFormat="1" applyFont="1" applyFill="1" applyBorder="1" applyAlignment="1" applyProtection="1">
      <alignment horizontal="center" vertical="center" wrapText="1"/>
      <protection hidden="1"/>
    </xf>
    <xf numFmtId="0" fontId="16" fillId="2" borderId="28" xfId="0" applyFont="1" applyFill="1" applyBorder="1" applyAlignment="1" applyProtection="1">
      <alignment horizontal="center" vertical="top"/>
      <protection hidden="1"/>
    </xf>
    <xf numFmtId="1" fontId="19" fillId="2" borderId="17" xfId="0" applyNumberFormat="1" applyFont="1" applyFill="1" applyBorder="1" applyAlignment="1" applyProtection="1">
      <alignment horizontal="center" vertical="center"/>
      <protection hidden="1"/>
    </xf>
    <xf numFmtId="1" fontId="19" fillId="2" borderId="11" xfId="0" applyNumberFormat="1" applyFont="1" applyFill="1" applyBorder="1" applyAlignment="1" applyProtection="1">
      <alignment horizontal="center" vertical="center"/>
      <protection hidden="1"/>
    </xf>
    <xf numFmtId="164" fontId="19" fillId="2" borderId="17" xfId="0" applyNumberFormat="1" applyFont="1" applyFill="1" applyBorder="1" applyAlignment="1" applyProtection="1">
      <alignment horizontal="center" vertical="center"/>
      <protection hidden="1"/>
    </xf>
    <xf numFmtId="164" fontId="19" fillId="2" borderId="11" xfId="0" applyNumberFormat="1" applyFont="1" applyFill="1" applyBorder="1" applyAlignment="1" applyProtection="1">
      <alignment horizontal="center" vertical="center"/>
      <protection hidden="1"/>
    </xf>
    <xf numFmtId="1" fontId="19" fillId="2" borderId="17" xfId="0" applyNumberFormat="1" applyFont="1" applyFill="1" applyBorder="1" applyAlignment="1" applyProtection="1">
      <alignment horizontal="center" vertical="center" wrapText="1"/>
      <protection hidden="1"/>
    </xf>
    <xf numFmtId="1" fontId="19" fillId="2" borderId="11" xfId="0" applyNumberFormat="1" applyFont="1" applyFill="1" applyBorder="1" applyAlignment="1" applyProtection="1">
      <alignment horizontal="center" vertical="center" wrapText="1"/>
      <protection hidden="1"/>
    </xf>
    <xf numFmtId="0" fontId="5" fillId="10" borderId="42" xfId="0" applyFont="1" applyFill="1" applyBorder="1" applyAlignment="1" applyProtection="1">
      <alignment horizontal="left" vertical="center" wrapText="1"/>
      <protection hidden="1"/>
    </xf>
    <xf numFmtId="0" fontId="5" fillId="10" borderId="24" xfId="0" applyFont="1" applyFill="1" applyBorder="1" applyAlignment="1" applyProtection="1">
      <alignment horizontal="left" vertical="center" wrapText="1"/>
      <protection hidden="1"/>
    </xf>
    <xf numFmtId="0" fontId="5" fillId="10" borderId="25" xfId="0" applyFont="1" applyFill="1" applyBorder="1" applyAlignment="1" applyProtection="1">
      <alignment horizontal="left" vertical="center" wrapText="1"/>
      <protection hidden="1"/>
    </xf>
    <xf numFmtId="0" fontId="5" fillId="10" borderId="44" xfId="0" applyFont="1" applyFill="1" applyBorder="1" applyAlignment="1" applyProtection="1">
      <alignment horizontal="left" vertical="center" wrapText="1"/>
      <protection hidden="1"/>
    </xf>
    <xf numFmtId="0" fontId="5" fillId="10" borderId="43" xfId="0" applyFont="1" applyFill="1" applyBorder="1" applyAlignment="1" applyProtection="1">
      <alignment horizontal="left" vertical="center" wrapText="1"/>
      <protection hidden="1"/>
    </xf>
    <xf numFmtId="0" fontId="5" fillId="10" borderId="32" xfId="0" applyFont="1" applyFill="1" applyBorder="1" applyAlignment="1" applyProtection="1">
      <alignment horizontal="left" vertical="center" wrapText="1"/>
      <protection hidden="1"/>
    </xf>
    <xf numFmtId="164" fontId="19" fillId="2" borderId="10" xfId="0" applyNumberFormat="1" applyFont="1" applyFill="1" applyBorder="1" applyAlignment="1" applyProtection="1">
      <alignment horizontal="center" vertical="center"/>
      <protection hidden="1"/>
    </xf>
    <xf numFmtId="1" fontId="19" fillId="2" borderId="10" xfId="0" applyNumberFormat="1" applyFont="1" applyFill="1" applyBorder="1" applyAlignment="1" applyProtection="1">
      <alignment horizontal="center" vertical="center" wrapText="1"/>
      <protection hidden="1"/>
    </xf>
    <xf numFmtId="1" fontId="19" fillId="2" borderId="19" xfId="0" applyNumberFormat="1" applyFont="1" applyFill="1" applyBorder="1" applyAlignment="1" applyProtection="1">
      <alignment horizontal="center" vertical="center" wrapText="1"/>
      <protection hidden="1"/>
    </xf>
    <xf numFmtId="0" fontId="17" fillId="2" borderId="38" xfId="0" applyFont="1" applyFill="1" applyBorder="1" applyAlignment="1" applyProtection="1">
      <alignment horizontal="left" vertical="top" wrapText="1"/>
      <protection hidden="1"/>
    </xf>
    <xf numFmtId="0" fontId="17" fillId="2" borderId="41" xfId="0" applyFont="1" applyFill="1" applyBorder="1" applyAlignment="1" applyProtection="1">
      <alignment horizontal="left" vertical="top" wrapText="1"/>
      <protection hidden="1"/>
    </xf>
    <xf numFmtId="0" fontId="17" fillId="2" borderId="10" xfId="0" applyFont="1" applyFill="1" applyBorder="1" applyAlignment="1" applyProtection="1">
      <alignment horizontal="left" vertical="top" wrapText="1"/>
      <protection hidden="1"/>
    </xf>
    <xf numFmtId="0" fontId="17" fillId="2" borderId="39" xfId="0" applyFont="1" applyFill="1" applyBorder="1" applyAlignment="1" applyProtection="1">
      <alignment horizontal="left" vertical="top" wrapText="1"/>
      <protection hidden="1"/>
    </xf>
    <xf numFmtId="0" fontId="17" fillId="2" borderId="45" xfId="0" applyFont="1" applyFill="1" applyBorder="1" applyAlignment="1" applyProtection="1">
      <alignment horizontal="left" vertical="top" wrapText="1"/>
      <protection hidden="1"/>
    </xf>
    <xf numFmtId="0" fontId="17" fillId="2" borderId="19" xfId="0" applyFont="1" applyFill="1" applyBorder="1" applyAlignment="1" applyProtection="1">
      <alignment horizontal="left" vertical="top" wrapText="1"/>
      <protection hidden="1"/>
    </xf>
    <xf numFmtId="0" fontId="19" fillId="9" borderId="31" xfId="0" applyFont="1" applyFill="1" applyBorder="1" applyAlignment="1" applyProtection="1">
      <alignment horizontal="left"/>
      <protection hidden="1"/>
    </xf>
    <xf numFmtId="0" fontId="19" fillId="9" borderId="18" xfId="0" applyFont="1" applyFill="1" applyBorder="1" applyAlignment="1" applyProtection="1">
      <alignment horizontal="left" vertical="center"/>
      <protection hidden="1"/>
    </xf>
    <xf numFmtId="165" fontId="17" fillId="2" borderId="4" xfId="0" applyNumberFormat="1" applyFont="1" applyFill="1" applyBorder="1" applyAlignment="1" applyProtection="1">
      <alignment horizontal="center" vertical="center" wrapText="1"/>
      <protection hidden="1"/>
    </xf>
    <xf numFmtId="165" fontId="17" fillId="2" borderId="6" xfId="0" applyNumberFormat="1" applyFont="1" applyFill="1" applyBorder="1" applyAlignment="1" applyProtection="1">
      <alignment horizontal="center" vertical="center" wrapText="1"/>
      <protection hidden="1"/>
    </xf>
    <xf numFmtId="0" fontId="16" fillId="2" borderId="29" xfId="0" applyFont="1" applyFill="1" applyBorder="1" applyAlignment="1" applyProtection="1">
      <alignment horizontal="center" vertical="center"/>
      <protection hidden="1"/>
    </xf>
    <xf numFmtId="1" fontId="19" fillId="2" borderId="10" xfId="0" applyNumberFormat="1" applyFont="1" applyFill="1" applyBorder="1" applyAlignment="1" applyProtection="1">
      <alignment horizontal="center" vertical="center"/>
      <protection hidden="1"/>
    </xf>
    <xf numFmtId="0" fontId="0" fillId="9" borderId="48" xfId="0" applyFont="1" applyFill="1" applyBorder="1" applyAlignment="1" applyProtection="1">
      <alignment horizontal="center" vertical="center"/>
      <protection locked="0"/>
    </xf>
    <xf numFmtId="165" fontId="16" fillId="2" borderId="17" xfId="0" applyNumberFormat="1" applyFont="1" applyFill="1" applyBorder="1" applyAlignment="1" applyProtection="1">
      <alignment horizontal="center" vertical="center"/>
      <protection hidden="1"/>
    </xf>
    <xf numFmtId="1" fontId="30" fillId="2" borderId="39" xfId="0" applyNumberFormat="1" applyFont="1" applyFill="1" applyBorder="1" applyAlignment="1" applyProtection="1">
      <alignment horizontal="center" vertical="top" wrapText="1"/>
      <protection hidden="1"/>
    </xf>
    <xf numFmtId="1" fontId="30" fillId="2" borderId="47" xfId="0" applyNumberFormat="1" applyFont="1" applyFill="1" applyBorder="1" applyAlignment="1" applyProtection="1">
      <alignment horizontal="center" vertical="top" wrapText="1"/>
      <protection hidden="1"/>
    </xf>
    <xf numFmtId="1" fontId="14" fillId="2" borderId="17" xfId="0" applyNumberFormat="1" applyFont="1" applyFill="1" applyBorder="1" applyAlignment="1" applyProtection="1">
      <alignment horizontal="center" vertical="center" wrapText="1"/>
      <protection hidden="1"/>
    </xf>
    <xf numFmtId="1" fontId="10" fillId="2" borderId="11" xfId="0" applyNumberFormat="1" applyFont="1" applyFill="1" applyBorder="1" applyAlignment="1" applyProtection="1">
      <alignment horizontal="center" vertical="center" wrapText="1"/>
      <protection hidden="1"/>
    </xf>
    <xf numFmtId="165" fontId="25" fillId="2" borderId="48" xfId="0" applyNumberFormat="1" applyFont="1" applyFill="1" applyBorder="1" applyAlignment="1" applyProtection="1">
      <alignment horizontal="center" vertical="center"/>
      <protection hidden="1"/>
    </xf>
    <xf numFmtId="165" fontId="25" fillId="2" borderId="20" xfId="0" applyNumberFormat="1" applyFont="1" applyFill="1" applyBorder="1" applyAlignment="1" applyProtection="1">
      <alignment horizontal="center" vertical="center"/>
      <protection hidden="1"/>
    </xf>
    <xf numFmtId="0" fontId="23" fillId="0" borderId="0" xfId="0" applyFont="1" applyBorder="1" applyAlignment="1" applyProtection="1">
      <alignment horizontal="center" vertical="center"/>
      <protection hidden="1"/>
    </xf>
    <xf numFmtId="0" fontId="12" fillId="0" borderId="0" xfId="0" applyFont="1" applyAlignment="1" applyProtection="1">
      <alignment horizontal="center" vertical="top" wrapText="1"/>
      <protection hidden="1"/>
    </xf>
    <xf numFmtId="0" fontId="16" fillId="0" borderId="18" xfId="0" applyFont="1" applyBorder="1" applyAlignment="1" applyProtection="1">
      <alignment horizontal="center" vertical="top" wrapText="1"/>
      <protection hidden="1"/>
    </xf>
    <xf numFmtId="0" fontId="0" fillId="0" borderId="4" xfId="0" applyBorder="1" applyAlignment="1" applyProtection="1">
      <alignment horizontal="center" wrapText="1"/>
      <protection hidden="1"/>
    </xf>
    <xf numFmtId="0" fontId="0" fillId="0" borderId="5" xfId="0" applyBorder="1" applyAlignment="1" applyProtection="1">
      <alignment horizontal="center" wrapText="1"/>
      <protection hidden="1"/>
    </xf>
    <xf numFmtId="0" fontId="0" fillId="0" borderId="6" xfId="0" applyBorder="1" applyAlignment="1" applyProtection="1">
      <alignment horizontal="center" wrapText="1"/>
      <protection hidden="1"/>
    </xf>
    <xf numFmtId="0" fontId="19" fillId="2" borderId="17" xfId="0" applyFont="1" applyFill="1" applyBorder="1" applyAlignment="1" applyProtection="1">
      <alignment horizontal="left" vertical="center" wrapText="1"/>
      <protection hidden="1"/>
    </xf>
    <xf numFmtId="0" fontId="19" fillId="2" borderId="18" xfId="0" applyFont="1" applyFill="1" applyBorder="1" applyAlignment="1" applyProtection="1">
      <alignment horizontal="left" vertical="center" wrapText="1"/>
      <protection hidden="1"/>
    </xf>
    <xf numFmtId="1" fontId="14" fillId="2" borderId="18" xfId="0" applyNumberFormat="1" applyFont="1" applyFill="1" applyBorder="1" applyAlignment="1" applyProtection="1">
      <alignment horizontal="center" vertical="center" wrapText="1"/>
      <protection hidden="1"/>
    </xf>
    <xf numFmtId="0" fontId="16" fillId="0" borderId="18" xfId="0" applyFont="1" applyBorder="1" applyAlignment="1" applyProtection="1">
      <alignment horizontal="left" vertical="top" wrapText="1"/>
      <protection hidden="1"/>
    </xf>
    <xf numFmtId="0" fontId="14" fillId="0" borderId="43" xfId="0" applyFont="1" applyFill="1" applyBorder="1" applyAlignment="1" applyProtection="1">
      <alignment horizontal="left"/>
      <protection hidden="1"/>
    </xf>
    <xf numFmtId="0" fontId="16" fillId="0" borderId="36" xfId="0" applyFont="1" applyBorder="1" applyAlignment="1" applyProtection="1">
      <alignment horizontal="left" vertical="top" wrapText="1"/>
      <protection hidden="1"/>
    </xf>
    <xf numFmtId="0" fontId="16" fillId="0" borderId="41" xfId="0" applyFont="1" applyBorder="1" applyAlignment="1" applyProtection="1">
      <alignment horizontal="left" vertical="top" wrapText="1"/>
      <protection hidden="1"/>
    </xf>
    <xf numFmtId="0" fontId="16" fillId="0" borderId="10" xfId="0" applyFont="1" applyBorder="1" applyAlignment="1" applyProtection="1">
      <alignment horizontal="left" vertical="top" wrapText="1"/>
      <protection hidden="1"/>
    </xf>
    <xf numFmtId="1" fontId="19" fillId="2" borderId="36" xfId="0" applyNumberFormat="1" applyFont="1" applyFill="1" applyBorder="1" applyAlignment="1" applyProtection="1">
      <alignment horizontal="center" vertical="top" wrapText="1"/>
      <protection hidden="1"/>
    </xf>
    <xf numFmtId="1" fontId="19" fillId="2" borderId="41" xfId="0" applyNumberFormat="1" applyFont="1" applyFill="1" applyBorder="1" applyAlignment="1" applyProtection="1">
      <alignment horizontal="center" vertical="top" wrapText="1"/>
      <protection hidden="1"/>
    </xf>
    <xf numFmtId="0" fontId="31" fillId="0" borderId="0" xfId="0" applyFont="1" applyAlignment="1">
      <alignment horizontal="center"/>
    </xf>
  </cellXfs>
  <cellStyles count="1">
    <cellStyle name="Normale"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7145</xdr:colOff>
      <xdr:row>28</xdr:row>
      <xdr:rowOff>83344</xdr:rowOff>
    </xdr:from>
    <xdr:to>
      <xdr:col>29</xdr:col>
      <xdr:colOff>130969</xdr:colOff>
      <xdr:row>38</xdr:row>
      <xdr:rowOff>107156</xdr:rowOff>
    </xdr:to>
    <xdr:sp macro="" textlink="">
      <xdr:nvSpPr>
        <xdr:cNvPr id="2" name="Rettangolo arrotondato 1"/>
        <xdr:cNvSpPr/>
      </xdr:nvSpPr>
      <xdr:spPr>
        <a:xfrm>
          <a:off x="173833" y="5226844"/>
          <a:ext cx="10577511" cy="1928812"/>
        </a:xfrm>
        <a:prstGeom prst="roundRect">
          <a:avLst>
            <a:gd name="adj" fmla="val 6079"/>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25</xdr:col>
      <xdr:colOff>162331</xdr:colOff>
      <xdr:row>34</xdr:row>
      <xdr:rowOff>11908</xdr:rowOff>
    </xdr:from>
    <xdr:to>
      <xdr:col>25</xdr:col>
      <xdr:colOff>166688</xdr:colOff>
      <xdr:row>38</xdr:row>
      <xdr:rowOff>178594</xdr:rowOff>
    </xdr:to>
    <xdr:cxnSp macro="">
      <xdr:nvCxnSpPr>
        <xdr:cNvPr id="5" name="Connettore 2 4"/>
        <xdr:cNvCxnSpPr/>
      </xdr:nvCxnSpPr>
      <xdr:spPr>
        <a:xfrm>
          <a:off x="9258706" y="6488908"/>
          <a:ext cx="4357" cy="928686"/>
        </a:xfrm>
        <a:prstGeom prst="straightConnector1">
          <a:avLst/>
        </a:prstGeom>
        <a:ln w="38100">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166688</xdr:colOff>
      <xdr:row>33</xdr:row>
      <xdr:rowOff>166689</xdr:rowOff>
    </xdr:from>
    <xdr:to>
      <xdr:col>17</xdr:col>
      <xdr:colOff>166688</xdr:colOff>
      <xdr:row>39</xdr:row>
      <xdr:rowOff>11906</xdr:rowOff>
    </xdr:to>
    <xdr:cxnSp macro="">
      <xdr:nvCxnSpPr>
        <xdr:cNvPr id="7" name="Connettore 2 6"/>
        <xdr:cNvCxnSpPr/>
      </xdr:nvCxnSpPr>
      <xdr:spPr>
        <a:xfrm>
          <a:off x="6215063" y="6453189"/>
          <a:ext cx="0" cy="988217"/>
        </a:xfrm>
        <a:prstGeom prst="straightConnector1">
          <a:avLst/>
        </a:prstGeom>
        <a:ln w="38100">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361944</xdr:colOff>
      <xdr:row>39</xdr:row>
      <xdr:rowOff>166689</xdr:rowOff>
    </xdr:from>
    <xdr:to>
      <xdr:col>20</xdr:col>
      <xdr:colOff>11906</xdr:colOff>
      <xdr:row>47</xdr:row>
      <xdr:rowOff>11906</xdr:rowOff>
    </xdr:to>
    <xdr:sp macro="" textlink="">
      <xdr:nvSpPr>
        <xdr:cNvPr id="10" name="Rettangolo arrotondato 9"/>
        <xdr:cNvSpPr/>
      </xdr:nvSpPr>
      <xdr:spPr>
        <a:xfrm>
          <a:off x="4505319" y="7405689"/>
          <a:ext cx="2697962" cy="1369217"/>
        </a:xfrm>
        <a:prstGeom prst="roundRect">
          <a:avLst>
            <a:gd name="adj" fmla="val 3827"/>
          </a:avLst>
        </a:prstGeom>
        <a:noFill/>
        <a:ln w="762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342899</xdr:colOff>
      <xdr:row>39</xdr:row>
      <xdr:rowOff>176214</xdr:rowOff>
    </xdr:from>
    <xdr:to>
      <xdr:col>29</xdr:col>
      <xdr:colOff>11906</xdr:colOff>
      <xdr:row>47</xdr:row>
      <xdr:rowOff>23812</xdr:rowOff>
    </xdr:to>
    <xdr:sp macro="" textlink="">
      <xdr:nvSpPr>
        <xdr:cNvPr id="11" name="Rettangolo arrotondato 10"/>
        <xdr:cNvSpPr/>
      </xdr:nvSpPr>
      <xdr:spPr>
        <a:xfrm>
          <a:off x="8296274" y="8677277"/>
          <a:ext cx="2717007" cy="1371598"/>
        </a:xfrm>
        <a:prstGeom prst="roundRect">
          <a:avLst>
            <a:gd name="adj" fmla="val 3827"/>
          </a:avLst>
        </a:prstGeom>
        <a:noFill/>
        <a:ln w="76200">
          <a:solidFill>
            <a:srgbClr val="00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367951</xdr:colOff>
      <xdr:row>47</xdr:row>
      <xdr:rowOff>168709</xdr:rowOff>
    </xdr:from>
    <xdr:to>
      <xdr:col>20</xdr:col>
      <xdr:colOff>9528</xdr:colOff>
      <xdr:row>53</xdr:row>
      <xdr:rowOff>188095</xdr:rowOff>
    </xdr:to>
    <xdr:sp macro="" textlink="">
      <xdr:nvSpPr>
        <xdr:cNvPr id="19" name="Rettangolo arrotondato 18"/>
        <xdr:cNvSpPr/>
      </xdr:nvSpPr>
      <xdr:spPr>
        <a:xfrm>
          <a:off x="4511326" y="8931709"/>
          <a:ext cx="2689577" cy="1162386"/>
        </a:xfrm>
        <a:prstGeom prst="roundRect">
          <a:avLst>
            <a:gd name="adj" fmla="val 3827"/>
          </a:avLst>
        </a:prstGeom>
        <a:noFill/>
        <a:ln w="762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340521</xdr:colOff>
      <xdr:row>47</xdr:row>
      <xdr:rowOff>178593</xdr:rowOff>
    </xdr:from>
    <xdr:to>
      <xdr:col>29</xdr:col>
      <xdr:colOff>9528</xdr:colOff>
      <xdr:row>54</xdr:row>
      <xdr:rowOff>9500</xdr:rowOff>
    </xdr:to>
    <xdr:sp macro="" textlink="">
      <xdr:nvSpPr>
        <xdr:cNvPr id="20" name="Rettangolo arrotondato 19"/>
        <xdr:cNvSpPr/>
      </xdr:nvSpPr>
      <xdr:spPr>
        <a:xfrm>
          <a:off x="8293896" y="10203656"/>
          <a:ext cx="2717007" cy="1164407"/>
        </a:xfrm>
        <a:prstGeom prst="roundRect">
          <a:avLst>
            <a:gd name="adj" fmla="val 3827"/>
          </a:avLst>
        </a:prstGeom>
        <a:noFill/>
        <a:ln w="76200">
          <a:solidFill>
            <a:srgbClr val="00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369094</xdr:colOff>
      <xdr:row>54</xdr:row>
      <xdr:rowOff>178209</xdr:rowOff>
    </xdr:from>
    <xdr:to>
      <xdr:col>20</xdr:col>
      <xdr:colOff>19056</xdr:colOff>
      <xdr:row>61</xdr:row>
      <xdr:rowOff>7095</xdr:rowOff>
    </xdr:to>
    <xdr:sp macro="" textlink="">
      <xdr:nvSpPr>
        <xdr:cNvPr id="21" name="Rettangolo arrotondato 20"/>
        <xdr:cNvSpPr/>
      </xdr:nvSpPr>
      <xdr:spPr>
        <a:xfrm>
          <a:off x="4512469" y="10274709"/>
          <a:ext cx="2697962" cy="1162386"/>
        </a:xfrm>
        <a:prstGeom prst="roundRect">
          <a:avLst>
            <a:gd name="adj" fmla="val 3827"/>
          </a:avLst>
        </a:prstGeom>
        <a:noFill/>
        <a:ln w="762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350049</xdr:colOff>
      <xdr:row>54</xdr:row>
      <xdr:rowOff>188093</xdr:rowOff>
    </xdr:from>
    <xdr:to>
      <xdr:col>29</xdr:col>
      <xdr:colOff>19056</xdr:colOff>
      <xdr:row>61</xdr:row>
      <xdr:rowOff>19000</xdr:rowOff>
    </xdr:to>
    <xdr:sp macro="" textlink="">
      <xdr:nvSpPr>
        <xdr:cNvPr id="22" name="Rettangolo arrotondato 21"/>
        <xdr:cNvSpPr/>
      </xdr:nvSpPr>
      <xdr:spPr>
        <a:xfrm>
          <a:off x="8303424" y="11546656"/>
          <a:ext cx="2717007" cy="1164407"/>
        </a:xfrm>
        <a:prstGeom prst="roundRect">
          <a:avLst>
            <a:gd name="adj" fmla="val 3827"/>
          </a:avLst>
        </a:prstGeom>
        <a:noFill/>
        <a:ln w="76200">
          <a:solidFill>
            <a:srgbClr val="00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7144</xdr:colOff>
      <xdr:row>39</xdr:row>
      <xdr:rowOff>45244</xdr:rowOff>
    </xdr:from>
    <xdr:to>
      <xdr:col>46</xdr:col>
      <xdr:colOff>369094</xdr:colOff>
      <xdr:row>63</xdr:row>
      <xdr:rowOff>119063</xdr:rowOff>
    </xdr:to>
    <xdr:sp macro="" textlink="">
      <xdr:nvSpPr>
        <xdr:cNvPr id="23" name="Rettangolo arrotondato 22"/>
        <xdr:cNvSpPr/>
      </xdr:nvSpPr>
      <xdr:spPr>
        <a:xfrm>
          <a:off x="173832" y="7284244"/>
          <a:ext cx="17292637" cy="4645819"/>
        </a:xfrm>
        <a:prstGeom prst="roundRect">
          <a:avLst>
            <a:gd name="adj" fmla="val 2445"/>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7145</xdr:colOff>
      <xdr:row>65</xdr:row>
      <xdr:rowOff>42863</xdr:rowOff>
    </xdr:from>
    <xdr:to>
      <xdr:col>46</xdr:col>
      <xdr:colOff>369094</xdr:colOff>
      <xdr:row>102</xdr:row>
      <xdr:rowOff>142874</xdr:rowOff>
    </xdr:to>
    <xdr:sp macro="" textlink="">
      <xdr:nvSpPr>
        <xdr:cNvPr id="24" name="Rettangolo arrotondato 23"/>
        <xdr:cNvSpPr/>
      </xdr:nvSpPr>
      <xdr:spPr>
        <a:xfrm>
          <a:off x="173833" y="12234863"/>
          <a:ext cx="17292636" cy="7148511"/>
        </a:xfrm>
        <a:prstGeom prst="roundRect">
          <a:avLst>
            <a:gd name="adj" fmla="val 2445"/>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295277</xdr:colOff>
      <xdr:row>28</xdr:row>
      <xdr:rowOff>92869</xdr:rowOff>
    </xdr:from>
    <xdr:to>
      <xdr:col>46</xdr:col>
      <xdr:colOff>369094</xdr:colOff>
      <xdr:row>38</xdr:row>
      <xdr:rowOff>116681</xdr:rowOff>
    </xdr:to>
    <xdr:sp macro="" textlink="">
      <xdr:nvSpPr>
        <xdr:cNvPr id="25" name="Rettangolo arrotondato 24"/>
        <xdr:cNvSpPr/>
      </xdr:nvSpPr>
      <xdr:spPr>
        <a:xfrm>
          <a:off x="10915652" y="5236369"/>
          <a:ext cx="6550817" cy="1928812"/>
        </a:xfrm>
        <a:prstGeom prst="roundRect">
          <a:avLst>
            <a:gd name="adj" fmla="val 6079"/>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20</xdr:col>
      <xdr:colOff>264583</xdr:colOff>
      <xdr:row>3</xdr:row>
      <xdr:rowOff>52917</xdr:rowOff>
    </xdr:from>
    <xdr:to>
      <xdr:col>29</xdr:col>
      <xdr:colOff>127001</xdr:colOff>
      <xdr:row>27</xdr:row>
      <xdr:rowOff>148167</xdr:rowOff>
    </xdr:to>
    <xdr:sp macro="" textlink="">
      <xdr:nvSpPr>
        <xdr:cNvPr id="14" name="Rettangolo arrotondato 13"/>
        <xdr:cNvSpPr/>
      </xdr:nvSpPr>
      <xdr:spPr>
        <a:xfrm>
          <a:off x="7461250" y="624417"/>
          <a:ext cx="3291418" cy="4667250"/>
        </a:xfrm>
        <a:prstGeom prst="roundRect">
          <a:avLst>
            <a:gd name="adj" fmla="val 4472"/>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231776</xdr:colOff>
      <xdr:row>3</xdr:row>
      <xdr:rowOff>57150</xdr:rowOff>
    </xdr:from>
    <xdr:to>
      <xdr:col>46</xdr:col>
      <xdr:colOff>301626</xdr:colOff>
      <xdr:row>27</xdr:row>
      <xdr:rowOff>152400</xdr:rowOff>
    </xdr:to>
    <xdr:sp macro="" textlink="">
      <xdr:nvSpPr>
        <xdr:cNvPr id="15" name="Rettangolo arrotondato 14"/>
        <xdr:cNvSpPr/>
      </xdr:nvSpPr>
      <xdr:spPr>
        <a:xfrm>
          <a:off x="10852151" y="628650"/>
          <a:ext cx="6546850" cy="4845844"/>
        </a:xfrm>
        <a:prstGeom prst="roundRect">
          <a:avLst>
            <a:gd name="adj" fmla="val 2904"/>
          </a:avLst>
        </a:prstGeom>
        <a:noFill/>
        <a:ln w="57150">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29"/>
  <sheetViews>
    <sheetView showGridLines="0" tabSelected="1" zoomScale="80" zoomScaleNormal="80" workbookViewId="0">
      <selection activeCell="AB6" sqref="AB6:AC6"/>
    </sheetView>
  </sheetViews>
  <sheetFormatPr defaultRowHeight="15" x14ac:dyDescent="0.25"/>
  <cols>
    <col min="1" max="2" width="2.5703125" style="1" customWidth="1"/>
    <col min="3" max="25" width="5.7109375" style="1" customWidth="1"/>
    <col min="26" max="29" width="5.7109375" style="2" customWidth="1"/>
    <col min="30" max="39" width="5.7109375" style="1" customWidth="1"/>
    <col min="40" max="42" width="5.7109375" style="3" customWidth="1"/>
    <col min="43" max="47" width="5.7109375" style="1" customWidth="1"/>
    <col min="48" max="16384" width="9.140625" style="1"/>
  </cols>
  <sheetData>
    <row r="1" spans="1:68" ht="15" customHeight="1" x14ac:dyDescent="0.25">
      <c r="T1" s="208">
        <f ca="1">INDIRECT(ADDRESS(AB7,CELL("col",AB7),4))</f>
        <v>432.52818171428589</v>
      </c>
      <c r="U1" s="208">
        <f ca="1">CELL("riga",AE7)</f>
        <v>7</v>
      </c>
      <c r="V1" s="208" t="str">
        <f>ADDRESS(AB7,1)</f>
        <v>$A$15</v>
      </c>
      <c r="W1" s="210">
        <f ca="1">INDIRECT(ADDRESS(AB7,1),4)</f>
        <v>0.95699999999999996</v>
      </c>
    </row>
    <row r="2" spans="1:68" ht="15" customHeight="1" x14ac:dyDescent="0.25">
      <c r="C2" s="412" t="s">
        <v>0</v>
      </c>
      <c r="D2" s="412"/>
      <c r="E2" s="412"/>
      <c r="F2" s="412"/>
      <c r="G2" s="412"/>
      <c r="H2" s="412"/>
      <c r="I2" s="412"/>
      <c r="J2" s="412"/>
      <c r="K2" s="412"/>
      <c r="L2" s="412"/>
      <c r="M2" s="412"/>
      <c r="N2" s="412"/>
      <c r="O2" s="412"/>
      <c r="P2" s="412"/>
      <c r="Q2" s="412"/>
      <c r="R2" s="412"/>
      <c r="S2" s="412"/>
      <c r="T2" s="412"/>
      <c r="U2" s="152"/>
      <c r="V2" s="152"/>
      <c r="W2" s="152"/>
      <c r="X2" s="152"/>
      <c r="Y2" s="152"/>
      <c r="Z2" s="152"/>
      <c r="AA2" s="152"/>
      <c r="AB2" s="152"/>
      <c r="AC2" s="152"/>
      <c r="AD2" s="153" t="s">
        <v>108</v>
      </c>
      <c r="AF2" s="152"/>
      <c r="AG2" s="152"/>
      <c r="AH2" s="152"/>
      <c r="AI2" s="152"/>
      <c r="AJ2" s="152"/>
      <c r="AK2" s="152"/>
      <c r="AL2" s="152"/>
      <c r="AM2" s="152"/>
      <c r="AN2" s="152"/>
      <c r="AO2" s="152"/>
      <c r="AP2" s="152"/>
      <c r="AQ2" s="152"/>
      <c r="AR2" s="152"/>
      <c r="AS2" s="152"/>
      <c r="AT2" s="152"/>
    </row>
    <row r="3" spans="1:68" ht="15" customHeight="1" x14ac:dyDescent="0.25">
      <c r="C3" s="412"/>
      <c r="D3" s="412"/>
      <c r="E3" s="412"/>
      <c r="F3" s="412"/>
      <c r="G3" s="412"/>
      <c r="H3" s="412"/>
      <c r="I3" s="412"/>
      <c r="J3" s="412"/>
      <c r="K3" s="412"/>
      <c r="L3" s="412"/>
      <c r="M3" s="412"/>
      <c r="N3" s="412"/>
      <c r="O3" s="412"/>
      <c r="P3" s="412"/>
      <c r="Q3" s="412"/>
      <c r="R3" s="412"/>
      <c r="S3" s="412"/>
      <c r="T3" s="412"/>
      <c r="U3" s="152"/>
      <c r="V3" s="201" t="s">
        <v>91</v>
      </c>
      <c r="W3" s="152"/>
      <c r="X3" s="152"/>
      <c r="Y3" s="152"/>
      <c r="Z3" s="152"/>
      <c r="AA3" s="152"/>
      <c r="AB3" s="152"/>
      <c r="AC3" s="152"/>
      <c r="AF3" s="152"/>
      <c r="AG3" s="152"/>
      <c r="AH3" s="152"/>
      <c r="AI3" s="152"/>
      <c r="AJ3" s="152"/>
      <c r="AK3" s="152"/>
      <c r="AL3" s="152"/>
      <c r="AM3" s="152"/>
      <c r="AN3" s="152"/>
      <c r="AO3" s="152"/>
      <c r="AP3" s="152"/>
      <c r="AQ3" s="152"/>
      <c r="AR3" s="152"/>
      <c r="AS3" s="152"/>
      <c r="AT3" s="152"/>
    </row>
    <row r="4" spans="1:68" ht="15" customHeight="1" thickBot="1" x14ac:dyDescent="0.3">
      <c r="A4" s="208">
        <v>0.88700000000000001</v>
      </c>
      <c r="C4" s="153" t="s">
        <v>74</v>
      </c>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52"/>
      <c r="AD4" s="153"/>
      <c r="AF4" s="152"/>
      <c r="AG4" s="152"/>
      <c r="AH4" s="152"/>
      <c r="AI4" s="152"/>
      <c r="AJ4" s="152"/>
      <c r="AK4" s="152"/>
      <c r="AL4" s="152"/>
      <c r="AM4" s="152"/>
      <c r="AN4" s="152"/>
      <c r="AO4" s="152"/>
      <c r="AP4" s="152"/>
      <c r="AQ4" s="152"/>
      <c r="AR4" s="152"/>
      <c r="AS4" s="152"/>
      <c r="AT4" s="152"/>
    </row>
    <row r="5" spans="1:68" ht="29.25" customHeight="1" thickBot="1" x14ac:dyDescent="0.3">
      <c r="A5" s="208">
        <v>0.92300000000000004</v>
      </c>
      <c r="C5" s="422" t="s">
        <v>92</v>
      </c>
      <c r="D5" s="422"/>
      <c r="E5" s="422"/>
      <c r="F5" s="422"/>
      <c r="G5" s="422"/>
      <c r="H5" s="422"/>
      <c r="I5" s="422"/>
      <c r="J5" s="422"/>
      <c r="K5" s="422"/>
      <c r="L5" s="422"/>
      <c r="M5" s="422"/>
      <c r="N5" s="422"/>
      <c r="O5" s="422"/>
      <c r="P5" s="422"/>
      <c r="Q5" s="422"/>
      <c r="R5" s="422"/>
      <c r="S5" s="422"/>
      <c r="T5" s="422"/>
      <c r="V5" s="348" t="s">
        <v>83</v>
      </c>
      <c r="W5" s="349"/>
      <c r="X5" s="349"/>
      <c r="Y5" s="349"/>
      <c r="Z5" s="349"/>
      <c r="AA5" s="349"/>
      <c r="AB5" s="349"/>
      <c r="AC5" s="350"/>
      <c r="AE5" s="415" t="s">
        <v>100</v>
      </c>
      <c r="AF5" s="416"/>
      <c r="AG5" s="416"/>
      <c r="AH5" s="416"/>
      <c r="AI5" s="416"/>
      <c r="AJ5" s="416"/>
      <c r="AK5" s="416"/>
      <c r="AL5" s="416"/>
      <c r="AM5" s="416"/>
      <c r="AN5" s="416"/>
      <c r="AO5" s="416"/>
      <c r="AP5" s="416"/>
      <c r="AQ5" s="416"/>
      <c r="AR5" s="416"/>
      <c r="AS5" s="416"/>
      <c r="AT5" s="417"/>
    </row>
    <row r="6" spans="1:68" s="2" customFormat="1" ht="15" customHeight="1" x14ac:dyDescent="0.25">
      <c r="A6" s="208">
        <v>0.93200000000000005</v>
      </c>
      <c r="C6" s="421" t="s">
        <v>58</v>
      </c>
      <c r="D6" s="421"/>
      <c r="E6" s="421"/>
      <c r="F6" s="421"/>
      <c r="G6" s="421"/>
      <c r="H6" s="421"/>
      <c r="I6" s="421"/>
      <c r="J6" s="421"/>
      <c r="K6" s="421"/>
      <c r="L6" s="421"/>
      <c r="M6" s="421"/>
      <c r="N6" s="421"/>
      <c r="O6" s="421"/>
      <c r="P6" s="421"/>
      <c r="Q6" s="421"/>
      <c r="R6" s="421"/>
      <c r="S6" s="421"/>
      <c r="T6" s="421"/>
      <c r="V6" s="162" t="s">
        <v>75</v>
      </c>
      <c r="W6" s="161"/>
      <c r="X6" s="161"/>
      <c r="Y6" s="161"/>
      <c r="Z6" s="161"/>
      <c r="AA6" s="161"/>
      <c r="AB6" s="353">
        <v>3200</v>
      </c>
      <c r="AC6" s="352"/>
      <c r="AE6" s="351">
        <v>1670</v>
      </c>
      <c r="AF6" s="352"/>
      <c r="AG6" s="353">
        <v>560</v>
      </c>
      <c r="AH6" s="352"/>
      <c r="AI6" s="351">
        <v>2460</v>
      </c>
      <c r="AJ6" s="352"/>
      <c r="AK6" s="351"/>
      <c r="AL6" s="352"/>
      <c r="AM6" s="351"/>
      <c r="AN6" s="352"/>
      <c r="AO6" s="351"/>
      <c r="AP6" s="352"/>
      <c r="AQ6" s="353"/>
      <c r="AR6" s="352"/>
      <c r="AS6" s="353"/>
      <c r="AT6" s="352"/>
      <c r="AV6" s="191"/>
      <c r="AW6" s="191"/>
      <c r="BP6" s="191"/>
    </row>
    <row r="7" spans="1:68" ht="15" customHeight="1" x14ac:dyDescent="0.25">
      <c r="A7" s="208">
        <v>0.93600000000000005</v>
      </c>
      <c r="C7" s="421" t="s">
        <v>90</v>
      </c>
      <c r="D7" s="421"/>
      <c r="E7" s="421"/>
      <c r="F7" s="421"/>
      <c r="G7" s="421"/>
      <c r="H7" s="421"/>
      <c r="I7" s="421"/>
      <c r="J7" s="421"/>
      <c r="K7" s="421"/>
      <c r="L7" s="421"/>
      <c r="M7" s="421"/>
      <c r="N7" s="421"/>
      <c r="O7" s="421"/>
      <c r="P7" s="421"/>
      <c r="Q7" s="421"/>
      <c r="R7" s="421"/>
      <c r="S7" s="421"/>
      <c r="T7" s="421"/>
      <c r="V7" s="163" t="s">
        <v>51</v>
      </c>
      <c r="W7" s="154"/>
      <c r="X7" s="154"/>
      <c r="Y7" s="154"/>
      <c r="Z7" s="154"/>
      <c r="AA7" s="154"/>
      <c r="AB7" s="318">
        <v>15</v>
      </c>
      <c r="AC7" s="317"/>
      <c r="AE7" s="316">
        <v>11</v>
      </c>
      <c r="AF7" s="317"/>
      <c r="AG7" s="318">
        <v>9</v>
      </c>
      <c r="AH7" s="317"/>
      <c r="AI7" s="316">
        <v>15</v>
      </c>
      <c r="AJ7" s="317"/>
      <c r="AK7" s="316"/>
      <c r="AL7" s="317"/>
      <c r="AM7" s="316"/>
      <c r="AN7" s="317"/>
      <c r="AO7" s="316"/>
      <c r="AP7" s="317"/>
      <c r="AQ7" s="318"/>
      <c r="AR7" s="317"/>
      <c r="AS7" s="318"/>
      <c r="AT7" s="317"/>
      <c r="AV7" s="191"/>
      <c r="AW7" s="191"/>
      <c r="BP7" s="191"/>
    </row>
    <row r="8" spans="1:68" ht="15" customHeight="1" x14ac:dyDescent="0.25">
      <c r="A8" s="208">
        <v>0.93600000000000005</v>
      </c>
      <c r="C8" s="421" t="s">
        <v>86</v>
      </c>
      <c r="D8" s="421"/>
      <c r="E8" s="421"/>
      <c r="F8" s="421"/>
      <c r="G8" s="421"/>
      <c r="H8" s="421"/>
      <c r="I8" s="421"/>
      <c r="J8" s="421"/>
      <c r="K8" s="421"/>
      <c r="L8" s="421"/>
      <c r="M8" s="421"/>
      <c r="N8" s="421"/>
      <c r="O8" s="421"/>
      <c r="P8" s="421"/>
      <c r="Q8" s="421"/>
      <c r="R8" s="421"/>
      <c r="S8" s="421"/>
      <c r="T8" s="421"/>
      <c r="V8" s="163" t="s">
        <v>49</v>
      </c>
      <c r="W8" s="154"/>
      <c r="X8" s="154"/>
      <c r="Y8" s="154"/>
      <c r="Z8" s="154"/>
      <c r="AA8" s="154"/>
      <c r="AB8" s="318">
        <v>6</v>
      </c>
      <c r="AC8" s="317"/>
      <c r="AE8" s="316">
        <v>3</v>
      </c>
      <c r="AF8" s="317"/>
      <c r="AG8" s="318">
        <v>3</v>
      </c>
      <c r="AH8" s="317"/>
      <c r="AI8" s="316">
        <v>4</v>
      </c>
      <c r="AJ8" s="317"/>
      <c r="AK8" s="316"/>
      <c r="AL8" s="317"/>
      <c r="AM8" s="316"/>
      <c r="AN8" s="317"/>
      <c r="AO8" s="316"/>
      <c r="AP8" s="317"/>
      <c r="AQ8" s="318"/>
      <c r="AR8" s="317"/>
      <c r="AS8" s="318"/>
      <c r="AT8" s="317"/>
      <c r="AV8" s="191"/>
      <c r="AW8" s="191"/>
      <c r="BP8" s="191"/>
    </row>
    <row r="9" spans="1:68" ht="15" customHeight="1" x14ac:dyDescent="0.25">
      <c r="A9" s="208">
        <v>0.89</v>
      </c>
      <c r="C9" s="423" t="s">
        <v>88</v>
      </c>
      <c r="D9" s="424"/>
      <c r="E9" s="424"/>
      <c r="F9" s="424"/>
      <c r="G9" s="424"/>
      <c r="H9" s="424"/>
      <c r="I9" s="424"/>
      <c r="J9" s="424"/>
      <c r="K9" s="424"/>
      <c r="L9" s="424"/>
      <c r="M9" s="424"/>
      <c r="N9" s="424"/>
      <c r="O9" s="424"/>
      <c r="P9" s="424"/>
      <c r="Q9" s="425"/>
      <c r="R9" s="426">
        <f>IF(AB9=4,(AB7+0.5)*25.4*2^0.5,IF(AB9=6,(AB7+0.5)*25.4*2,IF(AB9=8,(AB7+0.5)*25.4/SQRT(2-SQRT(2))*2,0)))</f>
        <v>556.77587950628754</v>
      </c>
      <c r="S9" s="427"/>
      <c r="T9" s="181" t="s">
        <v>61</v>
      </c>
      <c r="V9" s="163" t="s">
        <v>50</v>
      </c>
      <c r="W9" s="154"/>
      <c r="X9" s="154"/>
      <c r="Y9" s="154"/>
      <c r="Z9" s="154"/>
      <c r="AA9" s="154"/>
      <c r="AB9" s="318">
        <v>4</v>
      </c>
      <c r="AC9" s="317"/>
      <c r="AE9" s="316">
        <v>4</v>
      </c>
      <c r="AF9" s="317"/>
      <c r="AG9" s="318">
        <v>4</v>
      </c>
      <c r="AH9" s="317"/>
      <c r="AI9" s="316">
        <v>4</v>
      </c>
      <c r="AJ9" s="317"/>
      <c r="AK9" s="316"/>
      <c r="AL9" s="317"/>
      <c r="AM9" s="316"/>
      <c r="AN9" s="317"/>
      <c r="AO9" s="316"/>
      <c r="AP9" s="317"/>
      <c r="AQ9" s="318"/>
      <c r="AR9" s="317"/>
      <c r="AS9" s="318"/>
      <c r="AT9" s="317"/>
      <c r="AV9" s="191"/>
      <c r="AW9" s="191"/>
      <c r="BP9" s="191"/>
    </row>
    <row r="10" spans="1:68" ht="15" customHeight="1" x14ac:dyDescent="0.25">
      <c r="A10" s="208">
        <v>0.97299999999999998</v>
      </c>
      <c r="C10" s="421" t="s">
        <v>64</v>
      </c>
      <c r="D10" s="421"/>
      <c r="E10" s="421"/>
      <c r="F10" s="421"/>
      <c r="G10" s="421"/>
      <c r="H10" s="421"/>
      <c r="I10" s="421"/>
      <c r="J10" s="421"/>
      <c r="K10" s="421"/>
      <c r="L10" s="421"/>
      <c r="M10" s="421"/>
      <c r="N10" s="421"/>
      <c r="O10" s="421"/>
      <c r="P10" s="421"/>
      <c r="Q10" s="421"/>
      <c r="R10" s="421"/>
      <c r="S10" s="421"/>
      <c r="T10" s="421"/>
      <c r="V10" s="163" t="s">
        <v>78</v>
      </c>
      <c r="W10" s="154"/>
      <c r="X10" s="154"/>
      <c r="Y10" s="154"/>
      <c r="Z10" s="154"/>
      <c r="AA10" s="154"/>
      <c r="AB10" s="318">
        <v>380</v>
      </c>
      <c r="AC10" s="317"/>
      <c r="AE10" s="316">
        <v>950</v>
      </c>
      <c r="AF10" s="317"/>
      <c r="AG10" s="318">
        <v>1080</v>
      </c>
      <c r="AH10" s="317"/>
      <c r="AI10" s="316">
        <v>580</v>
      </c>
      <c r="AJ10" s="317"/>
      <c r="AK10" s="316"/>
      <c r="AL10" s="317"/>
      <c r="AM10" s="316"/>
      <c r="AN10" s="317"/>
      <c r="AO10" s="316"/>
      <c r="AP10" s="317"/>
      <c r="AQ10" s="318"/>
      <c r="AR10" s="317"/>
      <c r="AS10" s="318"/>
      <c r="AT10" s="317"/>
      <c r="AV10" s="191"/>
      <c r="AW10" s="191"/>
      <c r="BP10" s="191"/>
    </row>
    <row r="11" spans="1:68" ht="15" customHeight="1" x14ac:dyDescent="0.25">
      <c r="A11" s="208">
        <v>0.997</v>
      </c>
      <c r="C11" s="421" t="s">
        <v>55</v>
      </c>
      <c r="D11" s="421"/>
      <c r="E11" s="421"/>
      <c r="F11" s="421"/>
      <c r="G11" s="421"/>
      <c r="H11" s="421"/>
      <c r="I11" s="421"/>
      <c r="J11" s="421"/>
      <c r="K11" s="421"/>
      <c r="L11" s="421"/>
      <c r="M11" s="421"/>
      <c r="N11" s="421"/>
      <c r="O11" s="421"/>
      <c r="P11" s="421"/>
      <c r="Q11" s="421"/>
      <c r="R11" s="421"/>
      <c r="S11" s="421"/>
      <c r="T11" s="421"/>
      <c r="V11" s="164" t="s">
        <v>52</v>
      </c>
      <c r="W11" s="155"/>
      <c r="X11" s="155"/>
      <c r="Y11" s="155"/>
      <c r="Z11" s="155"/>
      <c r="AA11" s="155"/>
      <c r="AB11" s="318">
        <v>5800</v>
      </c>
      <c r="AC11" s="317"/>
      <c r="AE11" s="316">
        <v>4000</v>
      </c>
      <c r="AF11" s="317"/>
      <c r="AG11" s="318">
        <v>6800</v>
      </c>
      <c r="AH11" s="317"/>
      <c r="AI11" s="316">
        <v>5000</v>
      </c>
      <c r="AJ11" s="317"/>
      <c r="AK11" s="316"/>
      <c r="AL11" s="317"/>
      <c r="AM11" s="316"/>
      <c r="AN11" s="317"/>
      <c r="AO11" s="316"/>
      <c r="AP11" s="317"/>
      <c r="AQ11" s="318"/>
      <c r="AR11" s="317"/>
      <c r="AS11" s="318"/>
      <c r="AT11" s="317"/>
      <c r="AV11" s="191"/>
      <c r="AW11" s="191"/>
      <c r="BP11" s="191"/>
    </row>
    <row r="12" spans="1:68" ht="15" customHeight="1" thickBot="1" x14ac:dyDescent="0.3">
      <c r="A12" s="208">
        <v>0.92300000000000004</v>
      </c>
      <c r="C12" s="421" t="s">
        <v>85</v>
      </c>
      <c r="D12" s="421"/>
      <c r="E12" s="421"/>
      <c r="F12" s="421"/>
      <c r="G12" s="421"/>
      <c r="H12" s="421"/>
      <c r="I12" s="421"/>
      <c r="J12" s="421"/>
      <c r="K12" s="421"/>
      <c r="L12" s="421"/>
      <c r="M12" s="421"/>
      <c r="N12" s="421"/>
      <c r="O12" s="421"/>
      <c r="P12" s="421"/>
      <c r="Q12" s="421"/>
      <c r="R12" s="421"/>
      <c r="S12" s="421"/>
      <c r="T12" s="421"/>
      <c r="V12" s="356" t="s">
        <v>65</v>
      </c>
      <c r="W12" s="357"/>
      <c r="X12" s="357"/>
      <c r="Y12" s="357"/>
      <c r="Z12" s="357"/>
      <c r="AA12" s="358"/>
      <c r="AB12" s="354">
        <v>4000</v>
      </c>
      <c r="AC12" s="355"/>
      <c r="AE12" s="404">
        <v>3930</v>
      </c>
      <c r="AF12" s="355"/>
      <c r="AG12" s="354">
        <v>5700</v>
      </c>
      <c r="AH12" s="355"/>
      <c r="AI12" s="404">
        <v>4500</v>
      </c>
      <c r="AJ12" s="355"/>
      <c r="AK12" s="404"/>
      <c r="AL12" s="355"/>
      <c r="AM12" s="404"/>
      <c r="AN12" s="355"/>
      <c r="AO12" s="404"/>
      <c r="AP12" s="355"/>
      <c r="AQ12" s="354"/>
      <c r="AR12" s="355"/>
      <c r="AS12" s="354"/>
      <c r="AT12" s="355"/>
      <c r="AV12" s="191"/>
      <c r="AW12" s="191"/>
      <c r="BP12" s="191"/>
    </row>
    <row r="13" spans="1:68" ht="15" customHeight="1" thickBot="1" x14ac:dyDescent="0.3">
      <c r="A13" s="208">
        <v>1.016</v>
      </c>
      <c r="C13" s="180"/>
      <c r="D13" s="180"/>
      <c r="E13" s="180"/>
      <c r="F13" s="180"/>
      <c r="G13" s="180"/>
      <c r="H13" s="180"/>
      <c r="I13" s="180"/>
      <c r="J13" s="180"/>
      <c r="K13" s="180"/>
      <c r="L13" s="180"/>
      <c r="M13" s="180"/>
      <c r="N13" s="180"/>
      <c r="O13" s="180"/>
      <c r="P13" s="180"/>
      <c r="Q13" s="180"/>
      <c r="R13" s="180"/>
      <c r="S13" s="180"/>
      <c r="T13" s="180"/>
      <c r="V13" s="192"/>
      <c r="W13" s="192"/>
      <c r="X13" s="192"/>
      <c r="Y13" s="192"/>
      <c r="Z13" s="192"/>
      <c r="AA13" s="192"/>
      <c r="AB13" s="205"/>
      <c r="AC13" s="205"/>
      <c r="AE13" s="206"/>
      <c r="AF13" s="206"/>
      <c r="AG13" s="206"/>
      <c r="AH13" s="206"/>
      <c r="AI13" s="206"/>
      <c r="AJ13" s="206"/>
      <c r="AK13" s="206"/>
      <c r="AL13" s="206"/>
      <c r="AM13" s="206"/>
      <c r="AN13" s="206"/>
      <c r="AO13" s="206"/>
      <c r="AP13" s="206"/>
      <c r="AQ13" s="206"/>
      <c r="AR13" s="206"/>
      <c r="AS13" s="206"/>
      <c r="AT13" s="206"/>
      <c r="AV13" s="190"/>
      <c r="AW13" s="190"/>
      <c r="BP13" s="190"/>
    </row>
    <row r="14" spans="1:68" ht="15" customHeight="1" x14ac:dyDescent="0.25">
      <c r="A14" s="208">
        <v>0.95899999999999996</v>
      </c>
      <c r="B14" s="62"/>
      <c r="C14" s="421" t="s">
        <v>62</v>
      </c>
      <c r="D14" s="421"/>
      <c r="E14" s="421"/>
      <c r="F14" s="421"/>
      <c r="G14" s="421"/>
      <c r="H14" s="421"/>
      <c r="I14" s="421"/>
      <c r="J14" s="421"/>
      <c r="K14" s="421"/>
      <c r="L14" s="421"/>
      <c r="M14" s="421"/>
      <c r="N14" s="421"/>
      <c r="O14" s="421"/>
      <c r="P14" s="421"/>
      <c r="Q14" s="421"/>
      <c r="R14" s="421"/>
      <c r="S14" s="421"/>
      <c r="T14" s="421"/>
      <c r="V14" s="342" t="s">
        <v>57</v>
      </c>
      <c r="W14" s="343"/>
      <c r="X14" s="343"/>
      <c r="Y14" s="343"/>
      <c r="Z14" s="343"/>
      <c r="AA14" s="343"/>
      <c r="AB14" s="165">
        <f>IF(AB7=0,"",IF(AB6=0,"",AB6/((AB7*25.4/2)^2*3.14/1000000*AB9)/1000))</f>
        <v>7.0205377494972954</v>
      </c>
      <c r="AC14" s="166">
        <f>IF(AB7=0,"",IF(AB6=0,"",AB6/((AB7*25.4/2)^2*3.14/1000000*AB9)/1000))</f>
        <v>7.0205377494972954</v>
      </c>
      <c r="AE14" s="183">
        <f>IF(AE7=0,"",IF(AE6=0,"",AE6/((AE7*25.4/2)^2*3.14/1000000*AE9)/1000))</f>
        <v>6.8129314549938265</v>
      </c>
      <c r="AF14" s="166">
        <f>IF(AE7=0,"",IF(AE6=0,"",AE6/((AE7*25.4/2)^2*3.14/1000000*AE9)/1000))</f>
        <v>6.8129314549938265</v>
      </c>
      <c r="AG14" s="183">
        <f>IF(AG7=0,"",IF(AG6=0,"",AG6/((AG7*25.4/2)^2*3.14/1000000*AG9)/1000))</f>
        <v>3.4127614060056302</v>
      </c>
      <c r="AH14" s="166">
        <f>IF(AG7=0,"",IF(AG6=0,"",AG6/((AG7*25.4/2)^2*3.14/1000000*AG9)/1000))</f>
        <v>3.4127614060056302</v>
      </c>
      <c r="AI14" s="183">
        <f>IF(AI7=0,"",IF(AI6=0,"",AI6/((AI7*25.4/2)^2*3.14/1000000*AI9)/1000))</f>
        <v>5.3970383949260459</v>
      </c>
      <c r="AJ14" s="166">
        <f>IF(AI7=0,"",IF(AI6=0,"",AI6/((AI7*25.4/2)^2*3.14/1000000*AI9)/1000))</f>
        <v>5.3970383949260459</v>
      </c>
      <c r="AK14" s="183" t="str">
        <f>IF(AK7=0,"",IF(AK6=0,"",AK6/((AK7*25.4/2)^2*3.14/1000000*AK9)/1000))</f>
        <v/>
      </c>
      <c r="AL14" s="166" t="str">
        <f>IF(AK7=0,"",IF(AK6=0,"",AK6/((AK7*25.4/2)^2*3.14/1000000*AK9)/1000))</f>
        <v/>
      </c>
      <c r="AM14" s="183" t="str">
        <f>IF(AM7=0,"",IF(AM6=0,"",AM6/((AM7*25.4/2)^2*3.14/1000000*AM9)/1000))</f>
        <v/>
      </c>
      <c r="AN14" s="166" t="str">
        <f>IF(AM7=0,"",IF(AM6=0,"",AM6/((AM7*25.4/2)^2*3.14/1000000*AM9)/1000))</f>
        <v/>
      </c>
      <c r="AO14" s="183" t="str">
        <f>IF(AO7=0,"",IF(AO6=0,"",AO6/((AO7*25.4/2)^2*3.14/1000000*AO9)/1000))</f>
        <v/>
      </c>
      <c r="AP14" s="166" t="str">
        <f>IF(AO7=0,"",IF(AO6=0,"",AO6/((AO7*25.4/2)^2*3.14/1000000*AO9)/1000))</f>
        <v/>
      </c>
      <c r="AQ14" s="183" t="str">
        <f>IF(AQ7=0,"",IF(AQ6=0,"",AQ6/((AQ7*25.4/2)^2*3.14/1000000*AQ9)/1000))</f>
        <v/>
      </c>
      <c r="AR14" s="166" t="str">
        <f>IF(AQ7=0,"",IF(AQ6=0,"",AQ6/((AQ7*25.4/2)^2*3.14/1000000*AQ9)/1000))</f>
        <v/>
      </c>
      <c r="AS14" s="183" t="str">
        <f>IF(AS7=0,"",IF(AS6=0,"",AS6/((AS7*25.4/2)^2*3.14/1000000*AS9)/1000))</f>
        <v/>
      </c>
      <c r="AT14" s="166" t="str">
        <f>IF(AS7=0,"",IF(AS6=0,"",AS6/((AS7*25.4/2)^2*3.14/1000000*AS9)/1000))</f>
        <v/>
      </c>
      <c r="AV14" s="191"/>
      <c r="AW14" s="191"/>
      <c r="BP14" s="191"/>
    </row>
    <row r="15" spans="1:68" ht="15" customHeight="1" x14ac:dyDescent="0.25">
      <c r="A15" s="208">
        <v>0.95699999999999996</v>
      </c>
      <c r="C15" s="421" t="s">
        <v>63</v>
      </c>
      <c r="D15" s="421"/>
      <c r="E15" s="421"/>
      <c r="F15" s="421"/>
      <c r="G15" s="421"/>
      <c r="H15" s="421"/>
      <c r="I15" s="421"/>
      <c r="J15" s="421"/>
      <c r="K15" s="421"/>
      <c r="L15" s="421"/>
      <c r="M15" s="421"/>
      <c r="N15" s="421"/>
      <c r="O15" s="421"/>
      <c r="P15" s="421"/>
      <c r="Q15" s="421"/>
      <c r="R15" s="421"/>
      <c r="S15" s="421"/>
      <c r="T15" s="421"/>
      <c r="V15" s="418" t="s">
        <v>56</v>
      </c>
      <c r="W15" s="419"/>
      <c r="X15" s="419"/>
      <c r="Y15" s="419"/>
      <c r="Z15" s="419"/>
      <c r="AA15" s="419"/>
      <c r="AB15" s="420">
        <f>AB10*3.6*(AB$7/2*25.4/1000)/30*3.14*(AB8*3.7)/1.4</f>
        <v>432.52818171428589</v>
      </c>
      <c r="AC15" s="409">
        <f>AB10*3.6*(AB$7/2*25.4/1000)/30*3.14*(AB8*3.7)/1.4</f>
        <v>432.52818171428589</v>
      </c>
      <c r="AE15" s="408">
        <f>AE10*3.6*(AE$7/2*25.4/1000)/30*3.14*(AE8*3.7)/1.4</f>
        <v>396.4841665714286</v>
      </c>
      <c r="AF15" s="409">
        <f>AE10*3.6*(AE$7/2*25.4/1000)/30*3.14*(AE8*3.7)/1.4</f>
        <v>396.4841665714286</v>
      </c>
      <c r="AG15" s="408">
        <f>AG10*3.6*(AG$7/2*25.4/1000)/30*3.14*(AG8*3.7)/1.4</f>
        <v>368.78718651428579</v>
      </c>
      <c r="AH15" s="409">
        <f>AG10*3.6*(AG$7/2*25.4/1000)/30*3.14*(AG8*3.7)/1.4</f>
        <v>368.78718651428579</v>
      </c>
      <c r="AI15" s="408">
        <f>AI10*3.6*(AI$7/2*25.4/1000)/30*3.14*(AI8*3.7)/1.4</f>
        <v>440.11639542857148</v>
      </c>
      <c r="AJ15" s="409">
        <f>AI10*3.6*(AI$7/2*25.4/1000)/30*3.14*(AI8*3.7)/1.4</f>
        <v>440.11639542857148</v>
      </c>
      <c r="AK15" s="408">
        <f>AK10*3.6*(AK$7/2*25.4/1000)/30*3.14*(AK8*3.7)/1.4</f>
        <v>0</v>
      </c>
      <c r="AL15" s="409">
        <f>AK10*3.6*(AK$7/2*25.4/1000)/30*3.14*(AK8*3.7)/1.4</f>
        <v>0</v>
      </c>
      <c r="AM15" s="408">
        <f>AM10*3.6*(AM$7/2*25.4/1000)/30*3.14*(AM8*3.7)/1.4</f>
        <v>0</v>
      </c>
      <c r="AN15" s="409">
        <f>AM10*3.6*(AM$7/2*25.4/1000)/30*3.14*(AM8*3.7)/1.4</f>
        <v>0</v>
      </c>
      <c r="AO15" s="408">
        <f>AO10*3.6*(AO$7/2*25.4/1000)/30*3.14*(AO8*3.7)/1.4</f>
        <v>0</v>
      </c>
      <c r="AP15" s="409">
        <f>AO10*3.6*(AO$7/2*25.4/1000)/30*3.14*(AO8*3.7)/1.4</f>
        <v>0</v>
      </c>
      <c r="AQ15" s="408">
        <f>AQ10*3.6*(AQ$7/2*25.4/1000)/30*3.14*(AQ8*3.7)/1.4</f>
        <v>0</v>
      </c>
      <c r="AR15" s="409">
        <f>AQ10*3.6*(AQ$7/2*25.4/1000)/30*3.14*(AQ8*3.7)/1.4</f>
        <v>0</v>
      </c>
      <c r="AS15" s="408">
        <f>AS10*3.6*(AS$7/2*25.4/1000)/30*3.14*(AS8*3.7)/1.4</f>
        <v>0</v>
      </c>
      <c r="AT15" s="409">
        <f>AS10*3.6*(AS$7/2*25.4/1000)/30*3.14*(AS8*3.7)/1.4</f>
        <v>0</v>
      </c>
      <c r="AV15" s="191"/>
      <c r="AW15" s="191"/>
      <c r="BP15" s="191"/>
    </row>
    <row r="16" spans="1:68" x14ac:dyDescent="0.25">
      <c r="A16" s="208">
        <v>0.85099999999999998</v>
      </c>
      <c r="C16" s="421"/>
      <c r="D16" s="421"/>
      <c r="E16" s="421"/>
      <c r="F16" s="421"/>
      <c r="G16" s="421"/>
      <c r="H16" s="421"/>
      <c r="I16" s="421"/>
      <c r="J16" s="421"/>
      <c r="K16" s="421"/>
      <c r="L16" s="421"/>
      <c r="M16" s="421"/>
      <c r="N16" s="421"/>
      <c r="O16" s="421"/>
      <c r="P16" s="421"/>
      <c r="Q16" s="421"/>
      <c r="R16" s="421"/>
      <c r="S16" s="421"/>
      <c r="T16" s="421"/>
      <c r="V16" s="418"/>
      <c r="W16" s="419"/>
      <c r="X16" s="419"/>
      <c r="Y16" s="419"/>
      <c r="Z16" s="419"/>
      <c r="AA16" s="419"/>
      <c r="AB16" s="420"/>
      <c r="AC16" s="409"/>
      <c r="AE16" s="408"/>
      <c r="AF16" s="409"/>
      <c r="AG16" s="408"/>
      <c r="AH16" s="409"/>
      <c r="AI16" s="408"/>
      <c r="AJ16" s="409"/>
      <c r="AK16" s="408"/>
      <c r="AL16" s="409"/>
      <c r="AM16" s="408"/>
      <c r="AN16" s="409"/>
      <c r="AO16" s="408"/>
      <c r="AP16" s="409"/>
      <c r="AQ16" s="408"/>
      <c r="AR16" s="409"/>
      <c r="AS16" s="408"/>
      <c r="AT16" s="409"/>
      <c r="AV16" s="62"/>
      <c r="AW16" s="62"/>
      <c r="BP16" s="62"/>
    </row>
    <row r="17" spans="1:68" ht="15" customHeight="1" x14ac:dyDescent="0.25">
      <c r="A17" s="208">
        <v>0.86399999999999999</v>
      </c>
      <c r="C17" s="414" t="s">
        <v>87</v>
      </c>
      <c r="D17" s="414"/>
      <c r="E17" s="414"/>
      <c r="F17" s="414"/>
      <c r="G17" s="414"/>
      <c r="H17" s="414"/>
      <c r="I17" s="414"/>
      <c r="J17" s="414"/>
      <c r="K17" s="414"/>
      <c r="L17" s="414"/>
      <c r="M17" s="414"/>
      <c r="N17" s="414"/>
      <c r="O17" s="414"/>
      <c r="P17" s="414"/>
      <c r="Q17" s="414"/>
      <c r="R17" s="414"/>
      <c r="S17" s="414"/>
      <c r="T17" s="414"/>
      <c r="V17" s="362" t="s">
        <v>79</v>
      </c>
      <c r="W17" s="363"/>
      <c r="X17" s="363"/>
      <c r="Y17" s="363"/>
      <c r="Z17" s="363"/>
      <c r="AA17" s="363"/>
      <c r="AB17" s="346">
        <f t="shared" ref="AB17" ca="1" si="0">IF(AB7="","",IF(AB14="","",(-0.000045322*(AB14*3.14)^2-0.0017807*AB14*3.14+0.44374269)*(-5.33333333333333E-06*AB15^2+AB15*0.00353333+0.44)*(-0.0018*AB7^2+0.06*AB7+0.55))*INDIRECT(ADDRESS(AB7,1),4))</f>
        <v>0.37120542501597492</v>
      </c>
      <c r="AC17" s="347"/>
      <c r="AE17" s="405">
        <f t="shared" ref="AE17:AG17" ca="1" si="1">IF(AE7="","",IF(AE14="","",(-0.000045322*(AE14*3.14)^2-0.0017807*AE14*3.14+0.44374269)*(-5.33333333333333E-06*AE15^2+AE15*0.00353333+0.44)*(-0.0018*AE7^2+0.06*AE7+0.55))*INDIRECT(ADDRESS(AE7,1),4))</f>
        <v>0.38171566228886766</v>
      </c>
      <c r="AF17" s="347"/>
      <c r="AG17" s="346">
        <f t="shared" ca="1" si="1"/>
        <v>0.35872111416106711</v>
      </c>
      <c r="AH17" s="347"/>
      <c r="AI17" s="346">
        <f t="shared" ref="AI17" ca="1" si="2">IF(AI7="","",IF(AI14="","",(-0.000045322*(AI14*3.14)^2-0.0017807*AI14*3.14+0.44374269)*(-5.33333333333333E-06*AI15^2+AI15*0.00353333+0.44)*(-0.0018*AI7^2+0.06*AI7+0.55))*INDIRECT(ADDRESS(AI7,1),4))</f>
        <v>0.38535251335072612</v>
      </c>
      <c r="AJ17" s="347"/>
      <c r="AK17" s="346" t="str">
        <f ca="1">IF(AK7="","",IF(AK14="","",(-0.000045322*(AK14*3.14)^2-0.0017807*AK14*3.14+0.44374269)*(-5.33333333333333E-06*AK15^2+AK15*0.00353333+0.44)*(-0.0018*AK7^2+0.06*AK7+0.55))*INDIRECT(ADDRESS(AK7,1),4))</f>
        <v/>
      </c>
      <c r="AL17" s="347"/>
      <c r="AM17" s="346" t="str">
        <f t="shared" ref="AM17" ca="1" si="3">IF(AM7="","",IF(AM14="","",(-0.000045322*(AM14*3.14)^2-0.0017807*AM14*3.14+0.44374269)*(-5.33333333333333E-06*AM15^2+AM15*0.00353333+0.44)*(-0.0018*AM7^2+0.06*AM7+0.55))*INDIRECT(ADDRESS(AM7,1),4))</f>
        <v/>
      </c>
      <c r="AN17" s="347"/>
      <c r="AO17" s="346" t="str">
        <f t="shared" ref="AO17" ca="1" si="4">IF(AO7="","",IF(AO14="","",(-0.000045322*(AO14*3.14)^2-0.0017807*AO14*3.14+0.44374269)*(-5.33333333333333E-06*AO15^2+AO15*0.00353333+0.44)*(-0.0018*AO7^2+0.06*AO7+0.55))*INDIRECT(ADDRESS(AO7,1),4))</f>
        <v/>
      </c>
      <c r="AP17" s="347"/>
      <c r="AQ17" s="316">
        <v>0.41</v>
      </c>
      <c r="AR17" s="317"/>
      <c r="AS17" s="316"/>
      <c r="AT17" s="317"/>
      <c r="AV17" s="191"/>
      <c r="AW17" s="191"/>
      <c r="BP17" s="191"/>
    </row>
    <row r="18" spans="1:68" ht="15" customHeight="1" thickBot="1" x14ac:dyDescent="0.3">
      <c r="A18" s="208">
        <v>0.87</v>
      </c>
      <c r="I18" s="2"/>
      <c r="J18" s="2"/>
      <c r="K18" s="2"/>
      <c r="L18" s="2"/>
      <c r="T18" s="197">
        <f>IF(S19="","",IF(AB7=0,"",IF(AB6=0,"",S19*0.32*SQRT(AB9)*AB7*25.4*AB8*AB12/(AB6*SQRT(AB6)))))</f>
        <v>11.079090171298377</v>
      </c>
      <c r="V18" s="364"/>
      <c r="W18" s="365"/>
      <c r="X18" s="365"/>
      <c r="Y18" s="365"/>
      <c r="Z18" s="365"/>
      <c r="AA18" s="365"/>
      <c r="AB18" s="366">
        <f ca="1">IF(AB7="","",IF(AB14="","",AB23*AB15*AB14))</f>
        <v>421301.96791806724</v>
      </c>
      <c r="AC18" s="367"/>
      <c r="AD18" s="63"/>
      <c r="AE18" s="406">
        <f t="shared" ref="AE18" ca="1" si="5">IF(AE7="","",IF(AE14="","",AE23*AE15*AE14))</f>
        <v>359025.02608880884</v>
      </c>
      <c r="AF18" s="407"/>
      <c r="AG18" s="406">
        <f t="shared" ref="AG18" ca="1" si="6">IF(AG7="","",IF(AG14="","",AG23*AG15*AG14))</f>
        <v>125984.05944592961</v>
      </c>
      <c r="AH18" s="407"/>
      <c r="AI18" s="406">
        <f t="shared" ref="AI18" ca="1" si="7">IF(AI7="","",IF(AI14="","",AI23*AI15*AI14))</f>
        <v>278343.08572701394</v>
      </c>
      <c r="AJ18" s="407"/>
      <c r="AK18" s="406" t="str">
        <f>IF(AK7="","",IF(AK14="","",AK23*AK15*AK14))</f>
        <v/>
      </c>
      <c r="AL18" s="407"/>
      <c r="AM18" s="406" t="str">
        <f t="shared" ref="AM18" si="8">IF(AM7="","",IF(AM14="","",AM23*AM15*AM14))</f>
        <v/>
      </c>
      <c r="AN18" s="407"/>
      <c r="AO18" s="406" t="str">
        <f t="shared" ref="AO18" si="9">IF(AO7="","",IF(AO14="","",AO23*AO15*AO14))</f>
        <v/>
      </c>
      <c r="AP18" s="407"/>
      <c r="AQ18" s="410"/>
      <c r="AR18" s="411"/>
      <c r="AS18" s="410"/>
      <c r="AT18" s="411"/>
      <c r="AV18" s="160"/>
      <c r="BP18" s="160"/>
    </row>
    <row r="19" spans="1:68" ht="15" customHeight="1" thickBot="1" x14ac:dyDescent="0.3">
      <c r="A19" s="208">
        <v>0.89300000000000002</v>
      </c>
      <c r="C19" s="321" t="s">
        <v>82</v>
      </c>
      <c r="D19" s="322"/>
      <c r="E19" s="359" t="s">
        <v>89</v>
      </c>
      <c r="F19" s="360"/>
      <c r="G19" s="360"/>
      <c r="H19" s="360"/>
      <c r="I19" s="360"/>
      <c r="J19" s="360"/>
      <c r="K19" s="360"/>
      <c r="L19" s="360"/>
      <c r="M19" s="360"/>
      <c r="N19" s="360"/>
      <c r="O19" s="360"/>
      <c r="P19" s="360"/>
      <c r="Q19" s="360"/>
      <c r="R19" s="361"/>
      <c r="S19" s="400">
        <f>IF(Q26="","",IF(Q24="","",IF(Q23="","",IF(Q22="","",IF(Q21="","",U25/(0.32*SQRT(Q24)*Q22*25.4*Q23*Q27/(Q21*SQRT(Q21))))))))</f>
        <v>0.34269902841217459</v>
      </c>
      <c r="T19" s="401"/>
      <c r="U19" s="184">
        <f ca="1">AB17*0.32*SQRT(AB9)*AB7*25.4*AB8*AB12/(AB6*SQRT(AB6))</f>
        <v>12.000671244625631</v>
      </c>
      <c r="Z19" s="207">
        <f ca="1">IF(AB7=0,"",IF(AB6=0,"",(AB17*0.32*SQRT(AB9)*AB7*25.4*AB8*AB11/(AB6*SQRT(AB6)))))</f>
        <v>17.400973304707165</v>
      </c>
      <c r="AA19" s="208"/>
      <c r="AB19" s="207">
        <f ca="1">IF(AB7=0,"",IF(AB6=0,"",AB17*0.32*SQRT(AB9)*AB7*25.4*AB8*AB12/(AB6*SQRT(AB6))))</f>
        <v>12.000671244625631</v>
      </c>
      <c r="AC19" s="208"/>
      <c r="AD19" s="208"/>
      <c r="AE19" s="207">
        <f ca="1">IF(AE7=0,"",IF(AE6=0,"",AE17*0.32*SQRT(AE9)*AE7*25.4*AE8*AE12/(AE6*SQRT(AE6))))</f>
        <v>11.791945250707698</v>
      </c>
      <c r="AF19" s="208"/>
      <c r="AG19" s="207">
        <f ca="1">IF(AG7=0,"",IF(AG6=0,"",AG17*0.32*SQRT(AG9)*AG7*25.4*AG8*AG12/(AG6*SQRT(AG6))))</f>
        <v>67.721599917194425</v>
      </c>
      <c r="AH19" s="208"/>
      <c r="AI19" s="207">
        <f ca="1">IF(AI7=0,"",IF(AI6=0,"",AI17*0.32*SQRT(AI9)*AI7*25.4*AI8*AI12/(AI6*SQRT(AI6))))</f>
        <v>13.862226478736934</v>
      </c>
      <c r="AJ19" s="208"/>
      <c r="AK19" s="207" t="str">
        <f>IF(AK7=0,"",IF(AK6=0,"",AK17*0.32*SQRT(AK9)*AK7*25.4*AK8*AK12/(AK6*SQRT(AK6))))</f>
        <v/>
      </c>
      <c r="AL19" s="208"/>
      <c r="AM19" s="207" t="str">
        <f>IF(AM7=0,"",IF(AM6=0,"",AM17*0.32*SQRT(AM9)*AM7*25.4*AM8*AM12/(AM6*SQRT(AM6))))</f>
        <v/>
      </c>
      <c r="AN19" s="208"/>
      <c r="AO19" s="207" t="str">
        <f>IF(AO7=0,"",IF(AO6=0,"",AO17*0.32*SQRT(AO9)*AO7*25.4*AO8*AO12/(AO6*SQRT(AO6))))</f>
        <v/>
      </c>
      <c r="AP19" s="208"/>
      <c r="AQ19" s="207" t="str">
        <f>IF(AQ7=0,"",IF(AQ6=0,"",AQ17*0.32*SQRT(AQ9)*AQ7*25.4*AQ8*AQ12/(AQ6*SQRT(AQ6))))</f>
        <v/>
      </c>
      <c r="AR19" s="208"/>
      <c r="AS19" s="207" t="str">
        <f>IF(AS7=0,"",IF(AS6=0,"",AS17*0.32*SQRT(AS9)*AS7*25.4*AS8*AS12/(AS6*SQRT(AS6))))</f>
        <v/>
      </c>
      <c r="AT19" s="208"/>
    </row>
    <row r="20" spans="1:68" ht="15" customHeight="1" thickBot="1" x14ac:dyDescent="0.3">
      <c r="A20" s="208">
        <v>0.879</v>
      </c>
      <c r="C20" s="323"/>
      <c r="D20" s="324"/>
      <c r="E20" s="282" t="s">
        <v>80</v>
      </c>
      <c r="F20" s="283"/>
      <c r="G20" s="283"/>
      <c r="H20" s="283"/>
      <c r="I20" s="283"/>
      <c r="J20" s="283"/>
      <c r="K20" s="283"/>
      <c r="L20" s="283"/>
      <c r="M20" s="283"/>
      <c r="N20" s="283"/>
      <c r="O20" s="283"/>
      <c r="P20" s="283"/>
      <c r="Q20" s="283"/>
      <c r="R20" s="284"/>
      <c r="S20" s="376">
        <f>AB12</f>
        <v>4000</v>
      </c>
      <c r="T20" s="338"/>
      <c r="U20" s="185">
        <f>IF(Q26="","",IF(Q24="","",IF(Q23="","",IF(Q22="","",IF(Q21="","",S19*0.32*SQRT(Q24)*Q22*25.4*Q23*Q27/(Q21*SQRT(Q21)))))))</f>
        <v>10</v>
      </c>
      <c r="V20" s="344" t="s">
        <v>31</v>
      </c>
      <c r="W20" s="345"/>
      <c r="X20" s="345"/>
      <c r="Y20" s="345"/>
      <c r="Z20" s="402">
        <f>AB11</f>
        <v>5800</v>
      </c>
      <c r="AA20" s="402"/>
      <c r="AB20" s="337">
        <f>AB12</f>
        <v>4000</v>
      </c>
      <c r="AC20" s="338"/>
      <c r="AE20" s="337">
        <f>AE12</f>
        <v>3930</v>
      </c>
      <c r="AF20" s="338"/>
      <c r="AG20" s="337">
        <f>AG12</f>
        <v>5700</v>
      </c>
      <c r="AH20" s="338"/>
      <c r="AI20" s="337">
        <f>AI12</f>
        <v>4500</v>
      </c>
      <c r="AJ20" s="338"/>
      <c r="AK20" s="337">
        <f>AK12</f>
        <v>0</v>
      </c>
      <c r="AL20" s="338"/>
      <c r="AM20" s="337">
        <f>AM12</f>
        <v>0</v>
      </c>
      <c r="AN20" s="338"/>
      <c r="AO20" s="337">
        <f>AO12</f>
        <v>0</v>
      </c>
      <c r="AP20" s="338"/>
      <c r="AQ20" s="337">
        <f>AQ12</f>
        <v>0</v>
      </c>
      <c r="AR20" s="338"/>
      <c r="AS20" s="337">
        <f>AS12</f>
        <v>0</v>
      </c>
      <c r="AT20" s="338"/>
    </row>
    <row r="21" spans="1:68" ht="15" customHeight="1" x14ac:dyDescent="0.25">
      <c r="A21" s="208">
        <v>0.93400000000000005</v>
      </c>
      <c r="C21" s="323"/>
      <c r="D21" s="325"/>
      <c r="E21" s="331" t="s">
        <v>81</v>
      </c>
      <c r="F21" s="332"/>
      <c r="G21" s="332"/>
      <c r="H21" s="332"/>
      <c r="I21" s="332"/>
      <c r="J21" s="330" t="s">
        <v>75</v>
      </c>
      <c r="K21" s="330"/>
      <c r="L21" s="330"/>
      <c r="M21" s="330"/>
      <c r="N21" s="330"/>
      <c r="O21" s="330"/>
      <c r="P21" s="330"/>
      <c r="Q21" s="353">
        <v>2300</v>
      </c>
      <c r="R21" s="352"/>
      <c r="S21" s="193" t="s">
        <v>29</v>
      </c>
      <c r="T21" s="193" t="s">
        <v>30</v>
      </c>
      <c r="U21" s="186"/>
      <c r="V21" s="383" t="s">
        <v>1</v>
      </c>
      <c r="W21" s="384"/>
      <c r="X21" s="384"/>
      <c r="Y21" s="385"/>
      <c r="Z21" s="193" t="s">
        <v>29</v>
      </c>
      <c r="AA21" s="193" t="s">
        <v>30</v>
      </c>
      <c r="AB21" s="193" t="s">
        <v>29</v>
      </c>
      <c r="AC21" s="194" t="s">
        <v>30</v>
      </c>
      <c r="AE21" s="193" t="s">
        <v>29</v>
      </c>
      <c r="AF21" s="194" t="s">
        <v>30</v>
      </c>
      <c r="AG21" s="193" t="s">
        <v>29</v>
      </c>
      <c r="AH21" s="194" t="s">
        <v>30</v>
      </c>
      <c r="AI21" s="193" t="s">
        <v>29</v>
      </c>
      <c r="AJ21" s="194" t="s">
        <v>30</v>
      </c>
      <c r="AK21" s="193" t="s">
        <v>29</v>
      </c>
      <c r="AL21" s="194" t="s">
        <v>30</v>
      </c>
      <c r="AM21" s="193" t="s">
        <v>29</v>
      </c>
      <c r="AN21" s="194" t="s">
        <v>30</v>
      </c>
      <c r="AO21" s="193" t="s">
        <v>29</v>
      </c>
      <c r="AP21" s="194" t="s">
        <v>30</v>
      </c>
      <c r="AQ21" s="193" t="s">
        <v>29</v>
      </c>
      <c r="AR21" s="194" t="s">
        <v>30</v>
      </c>
      <c r="AS21" s="193" t="s">
        <v>29</v>
      </c>
      <c r="AT21" s="194" t="s">
        <v>30</v>
      </c>
    </row>
    <row r="22" spans="1:68" ht="15" customHeight="1" x14ac:dyDescent="0.25">
      <c r="A22" s="208">
        <v>0.98799999999999999</v>
      </c>
      <c r="C22" s="323"/>
      <c r="D22" s="325"/>
      <c r="E22" s="333"/>
      <c r="F22" s="334"/>
      <c r="G22" s="334"/>
      <c r="H22" s="334"/>
      <c r="I22" s="334"/>
      <c r="J22" s="399" t="s">
        <v>51</v>
      </c>
      <c r="K22" s="399"/>
      <c r="L22" s="399"/>
      <c r="M22" s="399"/>
      <c r="N22" s="399"/>
      <c r="O22" s="399"/>
      <c r="P22" s="399"/>
      <c r="Q22" s="318">
        <v>11</v>
      </c>
      <c r="R22" s="317"/>
      <c r="S22" s="195">
        <f>IF(S19="","",IF(AB7=0,"",IF(AB6=0,"",INT(S19*0.32*SQRT(AB9)*AB7*25.4*AB8*AB12/(AB6*SQRT(AB6))))))</f>
        <v>11</v>
      </c>
      <c r="T22" s="195">
        <f>IF(S19="","",IF(AB7=0,"",IF(AB6=0,"",(T18-S22)*60)))</f>
        <v>4.7454102779026286</v>
      </c>
      <c r="U22" s="186">
        <f>IF(S19="","",IF(U25=0,"",S19*0.32*SQRT(Q24)*Q22*25.4*Q23*Q27/(Q21*SQRT(Q21))))</f>
        <v>10</v>
      </c>
      <c r="V22" s="386"/>
      <c r="W22" s="387"/>
      <c r="X22" s="387"/>
      <c r="Y22" s="388"/>
      <c r="Z22" s="195">
        <f ca="1">IF(AB7=0,"",IF(AB6=0,"",INT(AB17*0.32*SQRT(AB9)*AB7*25.4*AB8*AB11/(AB6*SQRT(AB6)))))</f>
        <v>17</v>
      </c>
      <c r="AA22" s="195">
        <f ca="1">IF(AB7=0,"",IF(AB6=0,"",(Z19-Z22)*60))</f>
        <v>24.058398282429891</v>
      </c>
      <c r="AB22" s="195">
        <f ca="1">IF(AB7=0,"",IF(AB6=0,"",INT(AB17*0.32*SQRT(AB9)*AB7*25.4*AB8*AB12/(AB6*SQRT(AB6)))))</f>
        <v>12</v>
      </c>
      <c r="AC22" s="196">
        <f ca="1">IF(AB7=0,"",IF(AB6=0,"",(AB19-AB22)*60))</f>
        <v>4.0274677537830428E-2</v>
      </c>
      <c r="AE22" s="195">
        <f ca="1">IF(AE7=0,"",IF(AE6=0,"",INT(AE17*0.32*SQRT(AE9)*AE7*25.4*AE8*AE12/(AE6*SQRT(AE6)))))</f>
        <v>11</v>
      </c>
      <c r="AF22" s="196">
        <f ca="1">IF(AE7=0,"",IF(AE6=0,"",(AE19-AE22)*60))</f>
        <v>47.516715042461897</v>
      </c>
      <c r="AG22" s="195">
        <f ca="1">IF(AG7=0,"",IF(AG6=0,"",INT(AG17*0.32*SQRT(AG9)*AG7*25.4*AG8*AG12/(AG6*SQRT(AG6)))))</f>
        <v>67</v>
      </c>
      <c r="AH22" s="196">
        <f ca="1">IF(AG7=0,"",IF(AG6=0,"",(AG19-AG22)*60))</f>
        <v>43.295995031665484</v>
      </c>
      <c r="AI22" s="195">
        <f ca="1">IF(AI7=0,"",IF(AI6=0,"",INT(AI17*0.32*SQRT(AI9)*AI7*25.4*AI8*AI12/(AI6*SQRT(AI6)))))</f>
        <v>13</v>
      </c>
      <c r="AJ22" s="196">
        <f ca="1">IF(AI7=0,"",IF(AI6=0,"",(AI19-AI22)*60))</f>
        <v>51.733588724216055</v>
      </c>
      <c r="AK22" s="195" t="str">
        <f>IF(AK7=0,"",IF(AK6=0,"",INT(AK17*0.32*SQRT(AK9)*AK7*25.4*AK8*AK12/(AK6*SQRT(AK6)))))</f>
        <v/>
      </c>
      <c r="AL22" s="196" t="str">
        <f>IF(AK7=0,"",IF(AK6=0,"",(AK19-AK22)*60))</f>
        <v/>
      </c>
      <c r="AM22" s="195" t="str">
        <f>IF(AM7=0,"",IF(AM6=0,"",INT(AM17*0.32*SQRT(AM9)*AM7*25.4*AM8*AM12/(AM6*SQRT(AM6)))))</f>
        <v/>
      </c>
      <c r="AN22" s="196" t="str">
        <f>IF(AM7=0,"",IF(AM6=0,"",(AM19-AM22)*60))</f>
        <v/>
      </c>
      <c r="AO22" s="195" t="str">
        <f>IF(AO7=0,"",IF(AO6=0,"",INT(AO17*0.32*SQRT(AO9)*AO7*25.4*AO8*AO12/(AO6*SQRT(AO6)))))</f>
        <v/>
      </c>
      <c r="AP22" s="196" t="str">
        <f>IF(AO7=0,"",IF(AO6=0,"",(AO19-AO22)*60))</f>
        <v/>
      </c>
      <c r="AQ22" s="195" t="str">
        <f>IF(AQ7=0,"",IF(AQ6=0,"",INT(AQ17*0.32*SQRT(AQ9)*AQ7*25.4*AQ8*AQ12/(AQ6*SQRT(AQ6)))))</f>
        <v/>
      </c>
      <c r="AR22" s="196" t="str">
        <f>IF(AQ7=0,"",IF(AQ6=0,"",(AQ19-AQ22)*60))</f>
        <v/>
      </c>
      <c r="AS22" s="195" t="str">
        <f>IF(AS7=0,"",IF(AS6=0,"",INT(AS17*0.32*SQRT(AS9)*AS7*25.4*AS8*AS12/(AS6*SQRT(AS6)))))</f>
        <v/>
      </c>
      <c r="AT22" s="196" t="str">
        <f>IF(AS7=0,"",IF(AS6=0,"",(AS19-AS22)*60))</f>
        <v/>
      </c>
    </row>
    <row r="23" spans="1:68" ht="15" customHeight="1" x14ac:dyDescent="0.25">
      <c r="C23" s="323"/>
      <c r="D23" s="325"/>
      <c r="E23" s="333"/>
      <c r="F23" s="334"/>
      <c r="G23" s="334"/>
      <c r="H23" s="334"/>
      <c r="I23" s="334"/>
      <c r="J23" s="399" t="s">
        <v>49</v>
      </c>
      <c r="K23" s="399"/>
      <c r="L23" s="399"/>
      <c r="M23" s="399"/>
      <c r="N23" s="399"/>
      <c r="O23" s="399"/>
      <c r="P23" s="399"/>
      <c r="Q23" s="318">
        <v>4</v>
      </c>
      <c r="R23" s="317"/>
      <c r="S23" s="377">
        <f>IF(S19="","",IF(AB12=0,"",IF(AB15=0,"",IF(AB6=0,"",S25*3.7*AB8/AB6*1000))))</f>
        <v>150.28309854480369</v>
      </c>
      <c r="T23" s="378"/>
      <c r="U23" s="186"/>
      <c r="V23" s="339" t="s">
        <v>104</v>
      </c>
      <c r="W23" s="340"/>
      <c r="X23" s="340"/>
      <c r="Y23" s="341"/>
      <c r="Z23" s="368">
        <f ca="1">IF(AB11=0,"",IF(AB15=0,"",IF(AB6=0,"",Z25*3.7*AB8/AB6*1000)))</f>
        <v>138.74223916813423</v>
      </c>
      <c r="AA23" s="403"/>
      <c r="AB23" s="368">
        <f ca="1">IF(AB12=0,"",IF(AB15=0,"",IF(AB6=0,"",AB25*3.7*AB8/AB6*1000)))</f>
        <v>138.74223916813423</v>
      </c>
      <c r="AC23" s="369"/>
      <c r="AE23" s="368">
        <f ca="1">IF(AE12=0,"",IF(AE15=0,"",IF(AE6=0,"",AE25*3.7*AE8/AE6*1000)))</f>
        <v>132.91220234249229</v>
      </c>
      <c r="AF23" s="369"/>
      <c r="AG23" s="368">
        <f ca="1">IF(AG12=0,"",IF(AG15=0,"",IF(AG6=0,"",AG25*3.7*AG8/AG6*1000)))</f>
        <v>100.09994713233894</v>
      </c>
      <c r="AH23" s="369"/>
      <c r="AI23" s="368">
        <f ca="1">IF(AI12=0,"",IF(AI15=0,"",IF(AI6=0,"",AI25*3.7*AI8/AI6*1000)))</f>
        <v>117.18104926319501</v>
      </c>
      <c r="AJ23" s="369"/>
      <c r="AK23" s="368" t="str">
        <f>IF(AK12=0,"",IF(AK15=0,"",IF(AK6=0,"",AK25*3.7*AK8/AK6*1000)))</f>
        <v/>
      </c>
      <c r="AL23" s="369"/>
      <c r="AM23" s="368" t="str">
        <f>IF(AM12=0,"",IF(AM15=0,"",IF(AM6=0,"",AM25*3.7*AM8/AM6*1000)))</f>
        <v/>
      </c>
      <c r="AN23" s="369"/>
      <c r="AO23" s="368" t="str">
        <f>IF(AO12=0,"",IF(AO15=0,"",IF(AO6=0,"",AO25*3.7*AO8/AO6*1000)))</f>
        <v/>
      </c>
      <c r="AP23" s="369"/>
      <c r="AQ23" s="368" t="str">
        <f>IF(AQ12=0,"",IF(AQ19=0,"",IF(AQ15=0,"",IF(AQ6=0,"",AQ25*3.7*AQ8/AQ6*1000))))</f>
        <v/>
      </c>
      <c r="AR23" s="369"/>
      <c r="AS23" s="368" t="str">
        <f>IF(AS12=0,"",IF(AS19=0,"",IF(AS15=0,"",IF(AS6=0,"",AS25*3.7*AS8/AS6*1000))))</f>
        <v/>
      </c>
      <c r="AT23" s="369"/>
    </row>
    <row r="24" spans="1:68" s="63" customFormat="1" ht="15" customHeight="1" x14ac:dyDescent="0.25">
      <c r="A24" s="1"/>
      <c r="B24" s="66"/>
      <c r="C24" s="323"/>
      <c r="D24" s="325"/>
      <c r="E24" s="333"/>
      <c r="F24" s="334"/>
      <c r="G24" s="334"/>
      <c r="H24" s="334"/>
      <c r="I24" s="334"/>
      <c r="J24" s="399" t="s">
        <v>50</v>
      </c>
      <c r="K24" s="399"/>
      <c r="L24" s="399"/>
      <c r="M24" s="399"/>
      <c r="N24" s="399"/>
      <c r="O24" s="399"/>
      <c r="P24" s="399"/>
      <c r="Q24" s="318">
        <v>4</v>
      </c>
      <c r="R24" s="317"/>
      <c r="S24" s="379">
        <f ca="1">IF(S19="","",IF(AB12=0,"",IF(AB15=0,"",IF(AB6=0,"",AB11*60/(AB19*AB9*1000)))))</f>
        <v>7.2495944790556619</v>
      </c>
      <c r="T24" s="380"/>
      <c r="U24" s="187"/>
      <c r="V24" s="339" t="s">
        <v>2</v>
      </c>
      <c r="W24" s="340"/>
      <c r="X24" s="340"/>
      <c r="Y24" s="341"/>
      <c r="Z24" s="370">
        <f ca="1">IF(AB11=0,"",IF(AB15=0,"",IF(AB6=0,"",AB11*60/(Z19*AB9*1000))))</f>
        <v>4.999720330383215</v>
      </c>
      <c r="AA24" s="389"/>
      <c r="AB24" s="370">
        <f ca="1">IF(AB12=0,"",IF(AB15=0,"",IF(AB6=0,"",AB12*60/(AB19*AB9*1000))))</f>
        <v>4.999720330383215</v>
      </c>
      <c r="AC24" s="371"/>
      <c r="AD24" s="1"/>
      <c r="AE24" s="370">
        <f ca="1">IF(AE12=0,"",IF(AE15=0,"",IF(AE6=0,"",AE12*60/(AE19*AE9*1000))))</f>
        <v>4.999175178197345</v>
      </c>
      <c r="AF24" s="371"/>
      <c r="AG24" s="370">
        <f ca="1">IF(AG12=0,"",IF(AG15=0,"",IF(AG6=0,"",AG12*60/(AG19*AG9*1000))))</f>
        <v>1.2625218557231939</v>
      </c>
      <c r="AH24" s="371"/>
      <c r="AI24" s="370">
        <f ca="1">IF(AI12=0,"",IF(AI15=0,"",IF(AI6=0,"",AI12*60/(AI19*AI9*1000))))</f>
        <v>4.8693476551935762</v>
      </c>
      <c r="AJ24" s="371"/>
      <c r="AK24" s="370" t="str">
        <f>IF(AK12=0,"",IF(AK15=0,"",IF(AK6=0,"",AK12*60/(AK19*AK9*1000))))</f>
        <v/>
      </c>
      <c r="AL24" s="371"/>
      <c r="AM24" s="370" t="str">
        <f>IF(AM12=0,"",IF(AM15=0,"",IF(AM6=0,"",AM12*60/(AM19*AM9*1000))))</f>
        <v/>
      </c>
      <c r="AN24" s="371"/>
      <c r="AO24" s="370" t="str">
        <f>IF(AO12=0,"",IF(AO15=0,"",IF(AO6=0,"",AO12*60/(AO19*AO9*1000))))</f>
        <v/>
      </c>
      <c r="AP24" s="371"/>
      <c r="AQ24" s="370" t="str">
        <f>IF(AQ12=0,"",IF(AQ19=0,"",IF(AQ15=0,"",IF(AQ6=0,"",AQ12*60/(AQ19*AQ9*1000)))))</f>
        <v/>
      </c>
      <c r="AR24" s="371"/>
      <c r="AS24" s="370" t="str">
        <f>IF(AS12=0,"",IF(AS19=0,"",IF(AS15=0,"",IF(AS6=0,"",AS12*60/(AS19*AS9*1000)))))</f>
        <v/>
      </c>
      <c r="AT24" s="371"/>
    </row>
    <row r="25" spans="1:68" s="63" customFormat="1" ht="15" customHeight="1" x14ac:dyDescent="0.25">
      <c r="C25" s="323"/>
      <c r="D25" s="325"/>
      <c r="E25" s="333"/>
      <c r="F25" s="334"/>
      <c r="G25" s="334"/>
      <c r="H25" s="334"/>
      <c r="I25" s="334"/>
      <c r="J25" s="399" t="s">
        <v>78</v>
      </c>
      <c r="K25" s="399"/>
      <c r="L25" s="399"/>
      <c r="M25" s="399"/>
      <c r="N25" s="399"/>
      <c r="O25" s="399"/>
      <c r="P25" s="399"/>
      <c r="Q25" s="318">
        <v>920</v>
      </c>
      <c r="R25" s="317"/>
      <c r="S25" s="379">
        <f>IF(S19="","",IF(AB12=0,"",IF(AB15=0,"",IF(AB6=0,"",AB12*60/(T18*1000)))))</f>
        <v>21.662428619070802</v>
      </c>
      <c r="T25" s="380"/>
      <c r="U25" s="188">
        <f>Q26+R26/60</f>
        <v>10</v>
      </c>
      <c r="V25" s="339" t="s">
        <v>3</v>
      </c>
      <c r="W25" s="340"/>
      <c r="X25" s="340"/>
      <c r="Y25" s="341"/>
      <c r="Z25" s="370">
        <f ca="1">IF(AB11=0,"",IF(AB15=0,"",IF(AB6=0,"",AB11*60/(Z19*1000))))</f>
        <v>19.99888132153286</v>
      </c>
      <c r="AA25" s="389"/>
      <c r="AB25" s="370">
        <f ca="1">IF(AB12=0,"",IF(AB15=0,"",IF(AB6=0,"",AB12*60/(AB19*1000))))</f>
        <v>19.99888132153286</v>
      </c>
      <c r="AC25" s="371"/>
      <c r="AE25" s="370">
        <f ca="1">IF(AE12=0,"",IF(AE15=0,"",IF(AE6=0,"",AE12*60/(AE19*1000))))</f>
        <v>19.99670071278938</v>
      </c>
      <c r="AF25" s="371"/>
      <c r="AG25" s="370">
        <f ca="1">IF(AG12=0,"",IF(AG15=0,"",IF(AG6=0,"",AG12*60/(AG19*1000))))</f>
        <v>5.0500874228927755</v>
      </c>
      <c r="AH25" s="371"/>
      <c r="AI25" s="370">
        <f ca="1">IF(AI12=0,"",IF(AI15=0,"",IF(AI6=0,"",AI12*60/(AI19*1000))))</f>
        <v>19.477390620774305</v>
      </c>
      <c r="AJ25" s="371"/>
      <c r="AK25" s="370" t="str">
        <f>IF(AK12=0,"",IF(AK15=0,"",IF(AK6=0,"",AK12*60/(AK19*1000))))</f>
        <v/>
      </c>
      <c r="AL25" s="371"/>
      <c r="AM25" s="370" t="str">
        <f>IF(AM12=0,"",IF(AM15=0,"",IF(AM6=0,"",AM12*60/(AM19*1000))))</f>
        <v/>
      </c>
      <c r="AN25" s="371"/>
      <c r="AO25" s="370" t="str">
        <f>IF(AO12=0,"",IF(AO15=0,"",IF(AO6=0,"",AO12*60/(AO19*1000))))</f>
        <v/>
      </c>
      <c r="AP25" s="371"/>
      <c r="AQ25" s="370" t="str">
        <f>IF(AQ12=0,"",IF(AQ19=0,"",IF(AQ15=0,"",IF(AQ6=0,"",AQ12*60/(AQ19*1000)))))</f>
        <v/>
      </c>
      <c r="AR25" s="371"/>
      <c r="AS25" s="370" t="str">
        <f>IF(AS12=0,"",IF(AS19=0,"",IF(AS15=0,"",IF(AS6=0,"",AS12*60/(AS19*1000)))))</f>
        <v/>
      </c>
      <c r="AT25" s="371"/>
    </row>
    <row r="26" spans="1:68" s="63" customFormat="1" ht="15" customHeight="1" x14ac:dyDescent="0.25">
      <c r="C26" s="323"/>
      <c r="D26" s="325"/>
      <c r="E26" s="333"/>
      <c r="F26" s="334"/>
      <c r="G26" s="334"/>
      <c r="H26" s="334"/>
      <c r="I26" s="334"/>
      <c r="J26" s="198" t="s">
        <v>68</v>
      </c>
      <c r="K26" s="199"/>
      <c r="L26" s="199"/>
      <c r="M26" s="199"/>
      <c r="N26" s="199"/>
      <c r="O26" s="200" t="s">
        <v>29</v>
      </c>
      <c r="P26" s="200" t="s">
        <v>30</v>
      </c>
      <c r="Q26" s="158">
        <v>10</v>
      </c>
      <c r="R26" s="159"/>
      <c r="S26" s="381">
        <f>IF(S19="","",IF(AB12=0,"",IF(AB15=0,"",IF(AB6=0,"",S23*AB6/1000))))</f>
        <v>480.90591534337182</v>
      </c>
      <c r="T26" s="382"/>
      <c r="U26" s="189"/>
      <c r="V26" s="392" t="s">
        <v>7</v>
      </c>
      <c r="W26" s="393"/>
      <c r="X26" s="393"/>
      <c r="Y26" s="394"/>
      <c r="Z26" s="372">
        <f ca="1">IF(AB11=0,"",IF(AB15=0,"",IF(AB6=0,"",Z23*AB6/1000)))</f>
        <v>443.97516533802957</v>
      </c>
      <c r="AA26" s="390"/>
      <c r="AB26" s="372">
        <f ca="1">IF(AB12=0,"",IF(AB15=0,"",IF(AB6=0,"",AB23*AB6/1000)))</f>
        <v>443.97516533802957</v>
      </c>
      <c r="AC26" s="373"/>
      <c r="AE26" s="372">
        <f ca="1">IF(AE12=0,"",IF(AE15=0,"",IF(AE6=0,"",AE23*AE6/1000)))</f>
        <v>221.96337791196214</v>
      </c>
      <c r="AF26" s="373"/>
      <c r="AG26" s="372">
        <f ca="1">IF(AG12=0,"",IF(AG15=0,"",IF(AG6=0,"",AG23*AG6/1000)))</f>
        <v>56.055970394109806</v>
      </c>
      <c r="AH26" s="373"/>
      <c r="AI26" s="372">
        <f ca="1">IF(AI12=0,"",IF(AI15=0,"",IF(AI6=0,"",AI23*AI6/1000)))</f>
        <v>288.26538118745975</v>
      </c>
      <c r="AJ26" s="373"/>
      <c r="AK26" s="372" t="str">
        <f>IF(AK12=0,"",IF(AK15=0,"",IF(AK6=0,"",AK23*AK6/1000)))</f>
        <v/>
      </c>
      <c r="AL26" s="373"/>
      <c r="AM26" s="372" t="str">
        <f>IF(AM12=0,"",IF(AM15=0,"",IF(AM6=0,"",AM23*AM6/1000)))</f>
        <v/>
      </c>
      <c r="AN26" s="373"/>
      <c r="AO26" s="372" t="str">
        <f>IF(AO12=0,"",IF(AO15=0,"",IF(AO6=0,"",AO23*AO6/1000)))</f>
        <v/>
      </c>
      <c r="AP26" s="373"/>
      <c r="AQ26" s="372" t="str">
        <f>IF(AQ12=0,"",IF(AQ19=0,"",IF(AQ15=0,"",IF(AQ6=0,"",AQ23*AQ6/1000))))</f>
        <v/>
      </c>
      <c r="AR26" s="373"/>
      <c r="AS26" s="372" t="str">
        <f>IF(AS12=0,"",IF(AS19=0,"",IF(AS15=0,"",IF(AS6=0,"",AS23*AS6/1000))))</f>
        <v/>
      </c>
      <c r="AT26" s="373"/>
    </row>
    <row r="27" spans="1:68" s="63" customFormat="1" ht="15" customHeight="1" thickBot="1" x14ac:dyDescent="0.3">
      <c r="C27" s="326"/>
      <c r="D27" s="327"/>
      <c r="E27" s="335"/>
      <c r="F27" s="336"/>
      <c r="G27" s="336"/>
      <c r="H27" s="336"/>
      <c r="I27" s="336"/>
      <c r="J27" s="398" t="s">
        <v>69</v>
      </c>
      <c r="K27" s="398"/>
      <c r="L27" s="398"/>
      <c r="M27" s="398"/>
      <c r="N27" s="398"/>
      <c r="O27" s="398"/>
      <c r="P27" s="398"/>
      <c r="Q27" s="328">
        <v>4500</v>
      </c>
      <c r="R27" s="329"/>
      <c r="S27" s="319">
        <f>IF(S19="","",IF(AB12=0,"",IF(AB15=0,"",IF(AB6=0,"",S26/AB9))))</f>
        <v>120.22647883584295</v>
      </c>
      <c r="T27" s="320"/>
      <c r="U27" s="189"/>
      <c r="V27" s="395" t="s">
        <v>103</v>
      </c>
      <c r="W27" s="396"/>
      <c r="X27" s="396"/>
      <c r="Y27" s="397"/>
      <c r="Z27" s="374"/>
      <c r="AA27" s="391"/>
      <c r="AB27" s="374">
        <f>IF(AB12=0,"",IF(AB15=0,"",IF(AB6=0,"",AB6/AB9/10*2)))</f>
        <v>160</v>
      </c>
      <c r="AC27" s="375"/>
      <c r="AE27" s="374">
        <f>IF(AE12=0,"",IF(AE15=0,"",IF(AE6=0,"",AE6/AE9/10*2)))</f>
        <v>83.5</v>
      </c>
      <c r="AF27" s="375"/>
      <c r="AG27" s="374">
        <f>IF(AG12=0,"",IF(AG15=0,"",IF(AG6=0,"",AG6/AG9/10*2)))</f>
        <v>28</v>
      </c>
      <c r="AH27" s="375"/>
      <c r="AI27" s="374">
        <f>IF(AI12=0,"",IF(AI15=0,"",IF(AI6=0,"",AI6/AI9/10*2)))</f>
        <v>123</v>
      </c>
      <c r="AJ27" s="375"/>
      <c r="AK27" s="374" t="str">
        <f>IF(AK12=0,"",IF(AK15=0,"",IF(AK6=0,"",AK6/AK9/10*2)))</f>
        <v/>
      </c>
      <c r="AL27" s="375"/>
      <c r="AM27" s="374" t="str">
        <f>IF(AM12=0,"",IF(AM15=0,"",IF(AM6=0,"",AM6/AM9/10*2)))</f>
        <v/>
      </c>
      <c r="AN27" s="375"/>
      <c r="AO27" s="374" t="str">
        <f>IF(AO12=0,"",IF(AO15=0,"",IF(AO6=0,"",AO6/AO9/10*2)))</f>
        <v/>
      </c>
      <c r="AP27" s="375"/>
      <c r="AQ27" s="374" t="str">
        <f>IF(AQ12=0,"",IF(AQ15=0,"",IF(AQ6=0,"",AQ6/AQ9/10*2)))</f>
        <v/>
      </c>
      <c r="AR27" s="375"/>
      <c r="AS27" s="374" t="str">
        <f>IF(AS12=0,"",IF(AS15=0,"",IF(AS6=0,"",AS6/AS9/10*2)))</f>
        <v/>
      </c>
      <c r="AT27" s="375"/>
    </row>
    <row r="28" spans="1:68" ht="15" customHeight="1" x14ac:dyDescent="0.25">
      <c r="L28" s="63"/>
      <c r="M28" s="63"/>
      <c r="N28" s="63"/>
      <c r="O28" s="122"/>
      <c r="P28" s="122"/>
      <c r="Q28" s="122"/>
      <c r="R28" s="122"/>
      <c r="S28" s="122"/>
      <c r="T28" s="122"/>
      <c r="U28" s="122"/>
      <c r="AD28" s="2"/>
      <c r="AE28" s="209"/>
      <c r="AF28" s="209"/>
      <c r="AG28" s="209"/>
      <c r="AH28" s="209"/>
      <c r="AI28" s="209"/>
      <c r="AJ28" s="209"/>
      <c r="AK28" s="209"/>
      <c r="AL28" s="209"/>
      <c r="AM28" s="209"/>
      <c r="AN28" s="209"/>
      <c r="AO28" s="209"/>
      <c r="AP28" s="209"/>
      <c r="AQ28" s="209"/>
      <c r="AR28" s="209"/>
    </row>
    <row r="29" spans="1:68" ht="15" customHeight="1" x14ac:dyDescent="0.25">
      <c r="L29" s="63"/>
      <c r="M29" s="63"/>
      <c r="N29" s="63"/>
      <c r="O29" s="123"/>
      <c r="P29" s="123"/>
      <c r="Q29" s="123"/>
      <c r="R29" s="63"/>
      <c r="S29" s="156"/>
      <c r="T29" s="63"/>
      <c r="U29" s="157"/>
      <c r="V29" s="63"/>
      <c r="W29" s="63"/>
      <c r="X29" s="124"/>
      <c r="Y29" s="124"/>
      <c r="Z29" s="124"/>
      <c r="AA29" s="63"/>
      <c r="AB29" s="63"/>
      <c r="AC29" s="121"/>
      <c r="AD29" s="2"/>
      <c r="AN29" s="1"/>
      <c r="AO29" s="1"/>
      <c r="AP29" s="1"/>
    </row>
    <row r="30" spans="1:68" ht="15" customHeight="1" x14ac:dyDescent="0.25">
      <c r="C30" s="64" t="s">
        <v>59</v>
      </c>
      <c r="D30" s="64"/>
      <c r="E30" s="117" t="s">
        <v>93</v>
      </c>
      <c r="F30" s="111"/>
      <c r="G30" s="111"/>
      <c r="I30" s="111"/>
      <c r="J30" s="111"/>
      <c r="K30" s="111"/>
      <c r="M30" s="202"/>
      <c r="N30" s="202"/>
      <c r="O30" s="202"/>
      <c r="P30" s="202"/>
      <c r="Q30" s="413" t="s">
        <v>53</v>
      </c>
      <c r="R30" s="413"/>
      <c r="S30" s="413"/>
      <c r="T30" s="413"/>
      <c r="U30" s="413"/>
      <c r="V30" s="413"/>
      <c r="W30" s="413"/>
      <c r="X30" s="413"/>
      <c r="Y30" s="413"/>
      <c r="Z30" s="413"/>
      <c r="AA30" s="413"/>
      <c r="AB30" s="202"/>
      <c r="AC30" s="202"/>
      <c r="AD30" s="2"/>
      <c r="AE30" s="151" t="s">
        <v>70</v>
      </c>
      <c r="AG30" s="1" t="s">
        <v>71</v>
      </c>
      <c r="AN30" s="1"/>
      <c r="AO30" s="1"/>
      <c r="AP30" s="1"/>
    </row>
    <row r="31" spans="1:68" ht="15" customHeight="1" thickBot="1" x14ac:dyDescent="0.3">
      <c r="C31" s="111"/>
      <c r="D31" s="111"/>
      <c r="E31" s="111"/>
      <c r="F31" s="111"/>
      <c r="G31" s="111"/>
      <c r="H31" s="111"/>
      <c r="P31" s="60"/>
      <c r="Q31" s="60"/>
      <c r="R31" s="64"/>
      <c r="S31" s="64"/>
      <c r="T31" s="64"/>
      <c r="U31" s="64"/>
      <c r="V31" s="64"/>
      <c r="W31" s="64"/>
      <c r="X31" s="64"/>
      <c r="Y31" s="64"/>
      <c r="Z31" s="64"/>
      <c r="AA31" s="1"/>
      <c r="AB31" s="1"/>
      <c r="AC31" s="1"/>
      <c r="AD31" s="2"/>
      <c r="AN31" s="1"/>
      <c r="AO31" s="1"/>
      <c r="AP31" s="1"/>
    </row>
    <row r="32" spans="1:68" ht="15" customHeight="1" thickBot="1" x14ac:dyDescent="0.3">
      <c r="B32" s="62"/>
      <c r="C32" s="238" t="s">
        <v>39</v>
      </c>
      <c r="D32" s="238"/>
      <c r="E32" s="238"/>
      <c r="F32" s="238"/>
      <c r="G32" s="238"/>
      <c r="H32" s="238"/>
      <c r="I32" s="238"/>
      <c r="J32" s="238"/>
      <c r="L32" s="229" t="s">
        <v>27</v>
      </c>
      <c r="M32" s="230"/>
      <c r="N32" s="246" t="s">
        <v>41</v>
      </c>
      <c r="O32" s="247"/>
      <c r="P32" s="247"/>
      <c r="Q32" s="131">
        <f>IF(INT((AB$6*1000/4/35)^0.5*2/25.4+1)=W32,INT((AB$6*1000/4/35)^0.5*2/25.4+1)-1,INT((AB$6*1000/4/35)^0.5*2/25.4+1))</f>
        <v>12</v>
      </c>
      <c r="R32" s="252" t="s">
        <v>32</v>
      </c>
      <c r="S32" s="253"/>
      <c r="T32" s="253"/>
      <c r="U32" s="253"/>
      <c r="V32" s="253"/>
      <c r="W32" s="85">
        <f>INT((AB$6*1000/4/30)^0.5*2/25.4+1)</f>
        <v>13</v>
      </c>
      <c r="X32" s="211" t="s">
        <v>42</v>
      </c>
      <c r="Y32" s="212"/>
      <c r="Z32" s="212"/>
      <c r="AA32" s="212"/>
      <c r="AB32" s="212"/>
      <c r="AC32" s="213"/>
      <c r="AD32" s="2"/>
      <c r="AE32" s="55" t="s">
        <v>4</v>
      </c>
      <c r="AF32" s="56"/>
      <c r="AG32" s="5">
        <v>7</v>
      </c>
      <c r="AH32" s="6">
        <v>8</v>
      </c>
      <c r="AI32" s="6">
        <v>9</v>
      </c>
      <c r="AJ32" s="6">
        <v>10</v>
      </c>
      <c r="AK32" s="6">
        <v>11</v>
      </c>
      <c r="AL32" s="6">
        <v>12</v>
      </c>
      <c r="AM32" s="6">
        <v>13</v>
      </c>
      <c r="AN32" s="6">
        <v>14</v>
      </c>
      <c r="AO32" s="6">
        <v>15</v>
      </c>
      <c r="AP32" s="6">
        <v>16</v>
      </c>
      <c r="AQ32" s="6">
        <v>17</v>
      </c>
      <c r="AR32" s="6">
        <v>18</v>
      </c>
      <c r="AS32" s="6">
        <v>20</v>
      </c>
      <c r="AT32" s="7">
        <v>22</v>
      </c>
    </row>
    <row r="33" spans="2:47" ht="15" customHeight="1" x14ac:dyDescent="0.25">
      <c r="B33" s="62"/>
      <c r="C33" s="238"/>
      <c r="D33" s="238"/>
      <c r="E33" s="238"/>
      <c r="F33" s="238"/>
      <c r="G33" s="238"/>
      <c r="H33" s="238"/>
      <c r="I33" s="238"/>
      <c r="J33" s="238"/>
      <c r="L33" s="231" t="s">
        <v>28</v>
      </c>
      <c r="M33" s="232"/>
      <c r="N33" s="248"/>
      <c r="O33" s="249"/>
      <c r="P33" s="249"/>
      <c r="Q33" s="132">
        <f>IF(INT((AB$6*1000/6/35)^0.5*2/25.4+1)=W33,INT((AB$6*1000/6/35)^0.5*2/25.4+1)-1,INT((AB$6*1000/6/35)^0.5*2/25.4+1))</f>
        <v>10</v>
      </c>
      <c r="R33" s="254"/>
      <c r="S33" s="255"/>
      <c r="T33" s="255"/>
      <c r="U33" s="255"/>
      <c r="V33" s="255"/>
      <c r="W33" s="76">
        <f>INT((AB$6*1000/6/30)^0.5*2/25.4+1)</f>
        <v>11</v>
      </c>
      <c r="X33" s="214"/>
      <c r="Y33" s="215"/>
      <c r="Z33" s="215"/>
      <c r="AA33" s="215"/>
      <c r="AB33" s="215"/>
      <c r="AC33" s="216"/>
      <c r="AD33" s="2"/>
      <c r="AE33" s="220" t="s">
        <v>34</v>
      </c>
      <c r="AF33" s="8" t="s">
        <v>5</v>
      </c>
      <c r="AG33" s="57" t="s">
        <v>6</v>
      </c>
      <c r="AH33" s="58"/>
      <c r="AI33" s="58"/>
      <c r="AJ33" s="58"/>
      <c r="AK33" s="58"/>
      <c r="AL33" s="58"/>
      <c r="AM33" s="58"/>
      <c r="AN33" s="58"/>
      <c r="AO33" s="58"/>
      <c r="AP33" s="58"/>
      <c r="AQ33" s="58"/>
      <c r="AR33" s="58"/>
      <c r="AS33" s="58"/>
      <c r="AT33" s="59"/>
    </row>
    <row r="34" spans="2:47" ht="15" customHeight="1" thickBot="1" x14ac:dyDescent="0.3">
      <c r="B34" s="62"/>
      <c r="C34" s="238"/>
      <c r="D34" s="238"/>
      <c r="E34" s="238"/>
      <c r="F34" s="238"/>
      <c r="G34" s="238"/>
      <c r="H34" s="238"/>
      <c r="I34" s="238"/>
      <c r="J34" s="238"/>
      <c r="L34" s="233" t="s">
        <v>44</v>
      </c>
      <c r="M34" s="234"/>
      <c r="N34" s="250"/>
      <c r="O34" s="251"/>
      <c r="P34" s="251"/>
      <c r="Q34" s="133">
        <f>IF(INT((AB$6*1000/8/35)^0.5*2/25.4+1)=W34,INT((AB$6*1000/8/35)^0.5*2/25.4+1)-1,INT((AB$6*1000/8/35)^0.5*2/25.4+1))</f>
        <v>9</v>
      </c>
      <c r="R34" s="256"/>
      <c r="S34" s="257"/>
      <c r="T34" s="257"/>
      <c r="U34" s="257"/>
      <c r="V34" s="257"/>
      <c r="W34" s="86">
        <f>INT((AB$6*1000/8/30)^0.5*2/25.4+1)</f>
        <v>10</v>
      </c>
      <c r="X34" s="217"/>
      <c r="Y34" s="218"/>
      <c r="Z34" s="218"/>
      <c r="AA34" s="218"/>
      <c r="AB34" s="218"/>
      <c r="AC34" s="219"/>
      <c r="AD34" s="2"/>
      <c r="AE34" s="221"/>
      <c r="AF34" s="9">
        <v>300</v>
      </c>
      <c r="AG34" s="10">
        <f t="shared" ref="AG34:AT37" si="10">$AF34/3.6/(AG$32/2*25.4/1000)*30/3.14</f>
        <v>8955.8868835663052</v>
      </c>
      <c r="AH34" s="10">
        <f t="shared" si="10"/>
        <v>7836.4010231205166</v>
      </c>
      <c r="AI34" s="10">
        <f t="shared" si="10"/>
        <v>6965.6897983293484</v>
      </c>
      <c r="AJ34" s="10">
        <f t="shared" si="10"/>
        <v>6269.1208184964134</v>
      </c>
      <c r="AK34" s="10">
        <f t="shared" si="10"/>
        <v>5699.2007440876487</v>
      </c>
      <c r="AL34" s="10">
        <f t="shared" si="10"/>
        <v>5224.267348747012</v>
      </c>
      <c r="AM34" s="10">
        <f t="shared" si="10"/>
        <v>4822.4006296126254</v>
      </c>
      <c r="AN34" s="10">
        <f t="shared" si="10"/>
        <v>4477.9434417831526</v>
      </c>
      <c r="AO34" s="10">
        <f t="shared" si="10"/>
        <v>4179.4138789976087</v>
      </c>
      <c r="AP34" s="10">
        <f t="shared" si="10"/>
        <v>3918.2005115602583</v>
      </c>
      <c r="AQ34" s="10">
        <f t="shared" si="10"/>
        <v>3687.7181285273027</v>
      </c>
      <c r="AR34" s="10">
        <f t="shared" si="10"/>
        <v>3482.8448991646742</v>
      </c>
      <c r="AS34" s="10">
        <f t="shared" si="10"/>
        <v>3134.5604092482067</v>
      </c>
      <c r="AT34" s="11">
        <f t="shared" si="10"/>
        <v>2849.6003720438243</v>
      </c>
      <c r="AU34" s="12" t="s">
        <v>76</v>
      </c>
    </row>
    <row r="35" spans="2:47" ht="15" customHeight="1" thickBot="1" x14ac:dyDescent="0.3">
      <c r="B35" s="62"/>
      <c r="C35" s="114"/>
      <c r="D35" s="114"/>
      <c r="E35" s="114"/>
      <c r="F35" s="114"/>
      <c r="G35" s="114"/>
      <c r="H35" s="114"/>
      <c r="I35" s="114"/>
      <c r="J35" s="114"/>
      <c r="L35" s="112"/>
      <c r="M35" s="112"/>
      <c r="N35" s="61"/>
      <c r="O35" s="182"/>
      <c r="P35" s="182"/>
      <c r="Q35" s="182"/>
      <c r="R35" s="61"/>
      <c r="S35" s="113"/>
      <c r="T35" s="113"/>
      <c r="U35" s="113"/>
      <c r="V35" s="113"/>
      <c r="W35" s="113"/>
      <c r="X35" s="113"/>
      <c r="Y35" s="61"/>
      <c r="Z35" s="113"/>
      <c r="AA35" s="113"/>
      <c r="AB35" s="113"/>
      <c r="AC35" s="113"/>
      <c r="AD35" s="2"/>
      <c r="AE35" s="221"/>
      <c r="AF35" s="9">
        <v>330</v>
      </c>
      <c r="AG35" s="10">
        <f t="shared" si="10"/>
        <v>9851.4755719229379</v>
      </c>
      <c r="AH35" s="10">
        <f t="shared" si="10"/>
        <v>8620.04112543257</v>
      </c>
      <c r="AI35" s="10">
        <f t="shared" si="10"/>
        <v>7662.2587781622842</v>
      </c>
      <c r="AJ35" s="10">
        <f t="shared" si="10"/>
        <v>6896.0329003460556</v>
      </c>
      <c r="AK35" s="10">
        <f t="shared" si="10"/>
        <v>6269.1208184964144</v>
      </c>
      <c r="AL35" s="10">
        <f t="shared" si="10"/>
        <v>5746.6940836217136</v>
      </c>
      <c r="AM35" s="10">
        <f t="shared" si="10"/>
        <v>5304.6406925738893</v>
      </c>
      <c r="AN35" s="10">
        <f t="shared" si="10"/>
        <v>4925.7377859614689</v>
      </c>
      <c r="AO35" s="10">
        <f t="shared" si="10"/>
        <v>4597.3552668973707</v>
      </c>
      <c r="AP35" s="10">
        <f t="shared" si="10"/>
        <v>4310.020562716285</v>
      </c>
      <c r="AQ35" s="10">
        <f t="shared" si="10"/>
        <v>4056.4899413800331</v>
      </c>
      <c r="AR35" s="10">
        <f t="shared" si="10"/>
        <v>3831.1293890811421</v>
      </c>
      <c r="AS35" s="10">
        <f t="shared" si="10"/>
        <v>3448.0164501730278</v>
      </c>
      <c r="AT35" s="11">
        <f t="shared" si="10"/>
        <v>3134.5604092482072</v>
      </c>
      <c r="AU35" s="12" t="s">
        <v>76</v>
      </c>
    </row>
    <row r="36" spans="2:47" ht="15" customHeight="1" x14ac:dyDescent="0.25">
      <c r="B36" s="62"/>
      <c r="C36" s="238" t="s">
        <v>60</v>
      </c>
      <c r="D36" s="238"/>
      <c r="E36" s="238"/>
      <c r="F36" s="238"/>
      <c r="G36" s="238"/>
      <c r="H36" s="238"/>
      <c r="I36" s="238"/>
      <c r="J36" s="238"/>
      <c r="L36" s="229" t="s">
        <v>27</v>
      </c>
      <c r="M36" s="230"/>
      <c r="N36" s="239"/>
      <c r="O36" s="240"/>
      <c r="P36" s="240"/>
      <c r="Q36" s="134">
        <f>(Q32+0.5)*25.4*2^0.5</f>
        <v>449.01280605345772</v>
      </c>
      <c r="R36" s="252"/>
      <c r="S36" s="253"/>
      <c r="T36" s="253"/>
      <c r="U36" s="253"/>
      <c r="V36" s="253"/>
      <c r="W36" s="128">
        <f>(W32+0.5)*25.4*2^0.5</f>
        <v>484.93383053773431</v>
      </c>
      <c r="X36" s="211"/>
      <c r="Y36" s="212"/>
      <c r="Z36" s="212"/>
      <c r="AA36" s="212"/>
      <c r="AB36" s="212"/>
      <c r="AC36" s="213"/>
      <c r="AD36" s="2"/>
      <c r="AE36" s="221"/>
      <c r="AF36" s="9">
        <v>350</v>
      </c>
      <c r="AG36" s="10">
        <f t="shared" si="10"/>
        <v>10448.534697494024</v>
      </c>
      <c r="AH36" s="10">
        <f t="shared" si="10"/>
        <v>9142.4678603072698</v>
      </c>
      <c r="AI36" s="10">
        <f t="shared" si="10"/>
        <v>8126.6380980509066</v>
      </c>
      <c r="AJ36" s="10">
        <f t="shared" si="10"/>
        <v>7313.9742882458149</v>
      </c>
      <c r="AK36" s="10">
        <f t="shared" si="10"/>
        <v>6649.0675347689239</v>
      </c>
      <c r="AL36" s="10">
        <f t="shared" si="10"/>
        <v>6094.9785735381793</v>
      </c>
      <c r="AM36" s="10">
        <f t="shared" si="10"/>
        <v>5626.1340678813967</v>
      </c>
      <c r="AN36" s="10">
        <f t="shared" si="10"/>
        <v>5224.267348747012</v>
      </c>
      <c r="AO36" s="10">
        <f t="shared" si="10"/>
        <v>4875.9828588305436</v>
      </c>
      <c r="AP36" s="10">
        <f t="shared" si="10"/>
        <v>4571.2339301536349</v>
      </c>
      <c r="AQ36" s="10">
        <f t="shared" si="10"/>
        <v>4302.3378166151861</v>
      </c>
      <c r="AR36" s="10">
        <f t="shared" si="10"/>
        <v>4063.3190490254533</v>
      </c>
      <c r="AS36" s="10">
        <f t="shared" si="10"/>
        <v>3656.9871441229075</v>
      </c>
      <c r="AT36" s="11">
        <f t="shared" si="10"/>
        <v>3324.533767384462</v>
      </c>
      <c r="AU36" s="12" t="s">
        <v>77</v>
      </c>
    </row>
    <row r="37" spans="2:47" ht="15" customHeight="1" thickBot="1" x14ac:dyDescent="0.3">
      <c r="B37" s="62"/>
      <c r="C37" s="238"/>
      <c r="D37" s="238"/>
      <c r="E37" s="238"/>
      <c r="F37" s="238"/>
      <c r="G37" s="238"/>
      <c r="H37" s="238"/>
      <c r="I37" s="238"/>
      <c r="J37" s="238"/>
      <c r="L37" s="231" t="s">
        <v>28</v>
      </c>
      <c r="M37" s="232"/>
      <c r="N37" s="241"/>
      <c r="O37" s="242"/>
      <c r="P37" s="242"/>
      <c r="Q37" s="135">
        <f>(Q33+0.5)*25.4*2</f>
        <v>533.4</v>
      </c>
      <c r="R37" s="254"/>
      <c r="S37" s="255"/>
      <c r="T37" s="255"/>
      <c r="U37" s="255"/>
      <c r="V37" s="255"/>
      <c r="W37" s="129">
        <f>(W33+0.5)*25.4*2</f>
        <v>584.19999999999993</v>
      </c>
      <c r="X37" s="214"/>
      <c r="Y37" s="215"/>
      <c r="Z37" s="215"/>
      <c r="AA37" s="215"/>
      <c r="AB37" s="215"/>
      <c r="AC37" s="216"/>
      <c r="AD37" s="2"/>
      <c r="AE37" s="222"/>
      <c r="AF37" s="13">
        <v>400</v>
      </c>
      <c r="AG37" s="14">
        <f t="shared" si="10"/>
        <v>11941.182511421741</v>
      </c>
      <c r="AH37" s="14">
        <f t="shared" si="10"/>
        <v>10448.534697494024</v>
      </c>
      <c r="AI37" s="14">
        <f t="shared" si="10"/>
        <v>9287.5863977724657</v>
      </c>
      <c r="AJ37" s="14">
        <f t="shared" si="10"/>
        <v>8358.8277579952191</v>
      </c>
      <c r="AK37" s="14">
        <f t="shared" si="10"/>
        <v>7598.9343254502</v>
      </c>
      <c r="AL37" s="14">
        <f t="shared" si="10"/>
        <v>6965.6897983293502</v>
      </c>
      <c r="AM37" s="14">
        <f t="shared" si="10"/>
        <v>6429.8675061501681</v>
      </c>
      <c r="AN37" s="14">
        <f t="shared" si="10"/>
        <v>5970.5912557108704</v>
      </c>
      <c r="AO37" s="14">
        <f t="shared" si="10"/>
        <v>5572.5518386634794</v>
      </c>
      <c r="AP37" s="14">
        <f t="shared" si="10"/>
        <v>5224.267348747012</v>
      </c>
      <c r="AQ37" s="14">
        <f t="shared" si="10"/>
        <v>4916.9575047030703</v>
      </c>
      <c r="AR37" s="14">
        <f t="shared" si="10"/>
        <v>4643.7931988862329</v>
      </c>
      <c r="AS37" s="14">
        <f t="shared" si="10"/>
        <v>4179.4138789976096</v>
      </c>
      <c r="AT37" s="15">
        <f t="shared" si="10"/>
        <v>3799.4671627251</v>
      </c>
      <c r="AU37" s="12" t="s">
        <v>77</v>
      </c>
    </row>
    <row r="38" spans="2:47" ht="15" customHeight="1" thickBot="1" x14ac:dyDescent="0.3">
      <c r="B38" s="62"/>
      <c r="C38" s="238"/>
      <c r="D38" s="238"/>
      <c r="E38" s="238"/>
      <c r="F38" s="238"/>
      <c r="G38" s="238"/>
      <c r="H38" s="238"/>
      <c r="I38" s="238"/>
      <c r="J38" s="238"/>
      <c r="L38" s="233" t="s">
        <v>44</v>
      </c>
      <c r="M38" s="234"/>
      <c r="N38" s="243"/>
      <c r="O38" s="244"/>
      <c r="P38" s="244"/>
      <c r="Q38" s="84">
        <f>(Q34+0.5)*25.4/SQRT(2-SQRT(2))*2</f>
        <v>630.54728684933934</v>
      </c>
      <c r="R38" s="256"/>
      <c r="S38" s="257"/>
      <c r="T38" s="257"/>
      <c r="U38" s="257"/>
      <c r="V38" s="257"/>
      <c r="W38" s="130">
        <f>(W34+0.5)*25.4/SQRT(2-SQRT(2))*2</f>
        <v>696.92068546505925</v>
      </c>
      <c r="X38" s="217"/>
      <c r="Y38" s="218"/>
      <c r="Z38" s="218"/>
      <c r="AA38" s="218"/>
      <c r="AB38" s="218"/>
      <c r="AC38" s="219"/>
      <c r="AD38" s="2"/>
      <c r="AG38" s="62"/>
      <c r="AH38" s="10"/>
      <c r="AI38" s="10"/>
      <c r="AJ38" s="10"/>
      <c r="AK38" s="10"/>
      <c r="AL38" s="10"/>
      <c r="AM38" s="10"/>
      <c r="AN38" s="10"/>
      <c r="AO38" s="10"/>
      <c r="AP38" s="10"/>
      <c r="AQ38" s="10"/>
      <c r="AR38" s="10"/>
      <c r="AS38" s="10"/>
      <c r="AT38" s="10"/>
    </row>
    <row r="39" spans="2:47" ht="15" customHeight="1" x14ac:dyDescent="0.25">
      <c r="B39" s="62"/>
      <c r="C39" s="114"/>
      <c r="D39" s="114"/>
      <c r="E39" s="114"/>
      <c r="F39" s="114"/>
      <c r="G39" s="114"/>
      <c r="H39" s="114"/>
      <c r="I39" s="114"/>
      <c r="J39" s="114"/>
      <c r="L39" s="112"/>
      <c r="M39" s="112"/>
      <c r="N39" s="61"/>
      <c r="O39" s="182"/>
      <c r="P39" s="182"/>
      <c r="Q39" s="182"/>
      <c r="R39" s="61"/>
      <c r="S39" s="113"/>
      <c r="T39" s="113"/>
      <c r="U39" s="113"/>
      <c r="V39" s="113"/>
      <c r="W39" s="113"/>
      <c r="X39" s="113"/>
      <c r="Y39" s="61"/>
      <c r="Z39" s="113"/>
      <c r="AA39" s="113"/>
      <c r="AB39" s="113"/>
      <c r="AC39" s="113"/>
      <c r="AD39" s="2"/>
      <c r="AG39" s="62"/>
      <c r="AH39" s="10"/>
      <c r="AI39" s="10"/>
      <c r="AJ39" s="10"/>
      <c r="AK39" s="10"/>
      <c r="AL39" s="10"/>
      <c r="AM39" s="10"/>
      <c r="AN39" s="10"/>
      <c r="AO39" s="10"/>
      <c r="AP39" s="10"/>
      <c r="AQ39" s="10"/>
      <c r="AR39" s="10"/>
      <c r="AS39" s="10"/>
      <c r="AT39" s="10"/>
    </row>
    <row r="40" spans="2:47" ht="15" customHeight="1" thickBot="1" x14ac:dyDescent="0.3">
      <c r="B40" s="125"/>
      <c r="I40" s="117"/>
      <c r="N40" s="88"/>
      <c r="O40" s="88"/>
      <c r="P40" s="88"/>
      <c r="Q40" s="88"/>
      <c r="R40" s="88"/>
      <c r="S40" s="88"/>
      <c r="T40" s="88"/>
      <c r="U40" s="88"/>
      <c r="V40" s="88"/>
      <c r="W40" s="88"/>
      <c r="X40" s="88"/>
      <c r="Y40" s="88"/>
      <c r="Z40" s="88"/>
      <c r="AA40" s="88"/>
      <c r="AB40" s="63"/>
      <c r="AC40" s="63"/>
      <c r="AD40" s="63"/>
      <c r="AE40" s="63"/>
      <c r="AF40" s="63"/>
      <c r="AG40" s="65"/>
      <c r="AH40" s="65"/>
      <c r="AI40" s="65"/>
      <c r="AJ40" s="65"/>
      <c r="AK40" s="63"/>
      <c r="AL40" s="63"/>
      <c r="AM40" s="63"/>
      <c r="AN40" s="63"/>
      <c r="AO40" s="63"/>
      <c r="AP40" s="63"/>
      <c r="AQ40" s="63"/>
      <c r="AR40" s="63"/>
      <c r="AS40" s="63"/>
    </row>
    <row r="41" spans="2:47" ht="15" customHeight="1" thickBot="1" x14ac:dyDescent="0.3">
      <c r="B41" s="125"/>
      <c r="C41" s="151" t="s">
        <v>94</v>
      </c>
      <c r="D41" s="64"/>
      <c r="E41" s="64"/>
      <c r="H41" s="87"/>
      <c r="I41" s="117"/>
      <c r="L41" s="227" t="s">
        <v>43</v>
      </c>
      <c r="M41" s="228"/>
      <c r="N41" s="259" t="s">
        <v>37</v>
      </c>
      <c r="O41" s="259"/>
      <c r="P41" s="259"/>
      <c r="Q41" s="259"/>
      <c r="R41" s="259"/>
      <c r="S41" s="259"/>
      <c r="T41" s="259"/>
      <c r="W41" s="235" t="s">
        <v>38</v>
      </c>
      <c r="X41" s="236"/>
      <c r="Y41" s="236"/>
      <c r="Z41" s="236"/>
      <c r="AA41" s="236"/>
      <c r="AB41" s="236"/>
      <c r="AC41" s="237"/>
      <c r="AD41" s="63"/>
      <c r="AE41" s="223" t="s">
        <v>9</v>
      </c>
      <c r="AF41" s="224"/>
      <c r="AG41" s="73" t="s">
        <v>8</v>
      </c>
      <c r="AH41" s="74"/>
      <c r="AI41" s="74"/>
      <c r="AJ41" s="74"/>
      <c r="AK41" s="74"/>
      <c r="AL41" s="74"/>
      <c r="AM41" s="74"/>
      <c r="AN41" s="74"/>
      <c r="AO41" s="74"/>
      <c r="AP41" s="74"/>
      <c r="AQ41" s="74"/>
      <c r="AR41" s="74"/>
      <c r="AS41" s="74"/>
      <c r="AT41" s="75"/>
    </row>
    <row r="42" spans="2:47" ht="15" customHeight="1" thickBot="1" x14ac:dyDescent="0.3">
      <c r="B42" s="125"/>
      <c r="C42" s="262" t="s">
        <v>84</v>
      </c>
      <c r="D42" s="262"/>
      <c r="E42" s="262"/>
      <c r="F42" s="262"/>
      <c r="G42" s="262"/>
      <c r="H42" s="262"/>
      <c r="I42" s="262"/>
      <c r="J42" s="262"/>
      <c r="L42" s="225">
        <v>2</v>
      </c>
      <c r="M42" s="226"/>
      <c r="N42" s="81">
        <f t="shared" ref="N42:N61" si="11">P42*1.07</f>
        <v>1410.0815294455899</v>
      </c>
      <c r="O42" s="92"/>
      <c r="P42" s="80">
        <f t="shared" ref="P42:P47" si="12">400/3.6/(Q$32/2*25.4/1000)*30/3.14/(L42*3.7)*1.4</f>
        <v>1317.8332050893364</v>
      </c>
      <c r="Q42" s="93"/>
      <c r="R42" s="80">
        <f t="shared" ref="R42:R61" si="13">P42*3/4</f>
        <v>988.37490381700229</v>
      </c>
      <c r="S42" s="92"/>
      <c r="T42" s="81">
        <f t="shared" ref="T42:T61" si="14">R42*0.93</f>
        <v>919.1886605498122</v>
      </c>
      <c r="U42" s="228" t="s">
        <v>27</v>
      </c>
      <c r="V42" s="258"/>
      <c r="W42" s="90">
        <f t="shared" ref="W42:W61" si="15">Y42*1.07</f>
        <v>1301.6137194882365</v>
      </c>
      <c r="X42" s="94"/>
      <c r="Y42" s="83">
        <f t="shared" ref="Y42:Y47" si="16">400/3.6/(W$32/2*25.4/1000)*30/3.14/(L42*3.7)*1.4</f>
        <v>1216.461420082464</v>
      </c>
      <c r="Z42" s="95"/>
      <c r="AA42" s="83">
        <f t="shared" ref="AA42:AA61" si="17">Y42*3/4</f>
        <v>912.34606506184798</v>
      </c>
      <c r="AB42" s="94"/>
      <c r="AC42" s="82">
        <f t="shared" ref="AC42:AC61" si="18">AA42*0.93</f>
        <v>848.48184050751865</v>
      </c>
      <c r="AD42" s="63"/>
      <c r="AE42" s="291" t="s">
        <v>33</v>
      </c>
      <c r="AF42" s="292"/>
      <c r="AG42" s="104" t="s">
        <v>10</v>
      </c>
      <c r="AH42" s="105"/>
      <c r="AI42" s="105"/>
      <c r="AJ42" s="105"/>
      <c r="AK42" s="105"/>
      <c r="AL42" s="105"/>
      <c r="AM42" s="105"/>
      <c r="AN42" s="105"/>
      <c r="AO42" s="105"/>
      <c r="AP42" s="105"/>
      <c r="AQ42" s="105"/>
      <c r="AR42" s="105"/>
      <c r="AS42" s="105"/>
      <c r="AT42" s="106"/>
    </row>
    <row r="43" spans="2:47" ht="15" customHeight="1" thickBot="1" x14ac:dyDescent="0.3">
      <c r="B43" s="125"/>
      <c r="C43" s="262"/>
      <c r="D43" s="262"/>
      <c r="E43" s="262"/>
      <c r="F43" s="262"/>
      <c r="G43" s="262"/>
      <c r="H43" s="262"/>
      <c r="I43" s="262"/>
      <c r="J43" s="262"/>
      <c r="L43" s="225">
        <v>3</v>
      </c>
      <c r="M43" s="226"/>
      <c r="N43" s="81">
        <f t="shared" si="11"/>
        <v>940.05435296372673</v>
      </c>
      <c r="O43" s="92"/>
      <c r="P43" s="80">
        <f t="shared" si="12"/>
        <v>878.55547005955759</v>
      </c>
      <c r="Q43" s="93"/>
      <c r="R43" s="80">
        <f t="shared" si="13"/>
        <v>658.91660254466819</v>
      </c>
      <c r="S43" s="92"/>
      <c r="T43" s="81">
        <f t="shared" si="14"/>
        <v>612.79244036654143</v>
      </c>
      <c r="U43" s="228"/>
      <c r="V43" s="258"/>
      <c r="W43" s="91">
        <f t="shared" si="15"/>
        <v>867.74247965882444</v>
      </c>
      <c r="X43" s="92"/>
      <c r="Y43" s="80">
        <f t="shared" si="16"/>
        <v>810.97428005497602</v>
      </c>
      <c r="Z43" s="93"/>
      <c r="AA43" s="80">
        <f t="shared" si="17"/>
        <v>608.23071004123199</v>
      </c>
      <c r="AB43" s="92"/>
      <c r="AC43" s="81">
        <f t="shared" si="18"/>
        <v>565.65456033834573</v>
      </c>
      <c r="AD43" s="63"/>
      <c r="AE43" s="293"/>
      <c r="AF43" s="294"/>
      <c r="AG43" s="5">
        <v>7</v>
      </c>
      <c r="AH43" s="6">
        <v>8</v>
      </c>
      <c r="AI43" s="6">
        <v>9</v>
      </c>
      <c r="AJ43" s="6">
        <v>10</v>
      </c>
      <c r="AK43" s="6">
        <v>11</v>
      </c>
      <c r="AL43" s="6">
        <v>12</v>
      </c>
      <c r="AM43" s="6">
        <v>13</v>
      </c>
      <c r="AN43" s="6">
        <v>14</v>
      </c>
      <c r="AO43" s="6">
        <v>15</v>
      </c>
      <c r="AP43" s="6">
        <v>16</v>
      </c>
      <c r="AQ43" s="6">
        <v>17</v>
      </c>
      <c r="AR43" s="6">
        <v>18</v>
      </c>
      <c r="AS43" s="6">
        <v>20</v>
      </c>
      <c r="AT43" s="7">
        <v>22</v>
      </c>
    </row>
    <row r="44" spans="2:47" ht="15" customHeight="1" x14ac:dyDescent="0.25">
      <c r="B44" s="125"/>
      <c r="C44" s="262"/>
      <c r="D44" s="262"/>
      <c r="E44" s="262"/>
      <c r="F44" s="262"/>
      <c r="G44" s="262"/>
      <c r="H44" s="262"/>
      <c r="I44" s="262"/>
      <c r="J44" s="262"/>
      <c r="L44" s="225">
        <v>4</v>
      </c>
      <c r="M44" s="226"/>
      <c r="N44" s="81">
        <f t="shared" si="11"/>
        <v>705.04076472279496</v>
      </c>
      <c r="O44" s="92"/>
      <c r="P44" s="80">
        <f t="shared" si="12"/>
        <v>658.91660254466819</v>
      </c>
      <c r="Q44" s="93"/>
      <c r="R44" s="80">
        <f t="shared" si="13"/>
        <v>494.18745190850115</v>
      </c>
      <c r="S44" s="92"/>
      <c r="T44" s="81">
        <f t="shared" si="14"/>
        <v>459.5943302749061</v>
      </c>
      <c r="U44" s="228"/>
      <c r="V44" s="258"/>
      <c r="W44" s="91">
        <f t="shared" si="15"/>
        <v>650.80685974411824</v>
      </c>
      <c r="X44" s="92"/>
      <c r="Y44" s="80">
        <f t="shared" si="16"/>
        <v>608.23071004123199</v>
      </c>
      <c r="Z44" s="93"/>
      <c r="AA44" s="80">
        <f t="shared" si="17"/>
        <v>456.17303253092399</v>
      </c>
      <c r="AB44" s="92"/>
      <c r="AC44" s="81">
        <f t="shared" si="18"/>
        <v>424.24092025375933</v>
      </c>
      <c r="AD44" s="63"/>
      <c r="AE44" s="16" t="s">
        <v>11</v>
      </c>
      <c r="AF44" s="54">
        <v>2</v>
      </c>
      <c r="AG44" s="17">
        <f t="shared" ref="AG44:AT49" si="19">AG$37/($AF44*3.7)*1.4</f>
        <v>2259.142637296005</v>
      </c>
      <c r="AH44" s="18">
        <f t="shared" si="19"/>
        <v>1976.7498076340041</v>
      </c>
      <c r="AI44" s="18">
        <f t="shared" si="19"/>
        <v>1757.1109401191147</v>
      </c>
      <c r="AJ44" s="18">
        <f t="shared" si="19"/>
        <v>1581.3998461072033</v>
      </c>
      <c r="AK44" s="18">
        <f t="shared" si="19"/>
        <v>1437.6362237338212</v>
      </c>
      <c r="AL44" s="18">
        <f t="shared" si="19"/>
        <v>1317.8332050893364</v>
      </c>
      <c r="AM44" s="18">
        <f t="shared" si="19"/>
        <v>1216.461420082464</v>
      </c>
      <c r="AN44" s="18">
        <f t="shared" si="19"/>
        <v>1129.5713186480025</v>
      </c>
      <c r="AO44" s="18">
        <f t="shared" si="19"/>
        <v>1054.266564071469</v>
      </c>
      <c r="AP44" s="18">
        <f t="shared" si="19"/>
        <v>988.37490381700206</v>
      </c>
      <c r="AQ44" s="18">
        <f t="shared" si="19"/>
        <v>930.23520359247266</v>
      </c>
      <c r="AR44" s="18">
        <f t="shared" si="19"/>
        <v>878.55547005955736</v>
      </c>
      <c r="AS44" s="18">
        <f t="shared" si="19"/>
        <v>790.69992305360165</v>
      </c>
      <c r="AT44" s="19">
        <f t="shared" si="19"/>
        <v>718.81811186691061</v>
      </c>
    </row>
    <row r="45" spans="2:47" ht="15" customHeight="1" x14ac:dyDescent="0.25">
      <c r="B45" s="125"/>
      <c r="C45" s="115" t="s">
        <v>54</v>
      </c>
      <c r="D45" s="115"/>
      <c r="E45" s="115"/>
      <c r="L45" s="225">
        <v>5</v>
      </c>
      <c r="M45" s="226"/>
      <c r="N45" s="81">
        <f t="shared" si="11"/>
        <v>564.03261177823606</v>
      </c>
      <c r="O45" s="92"/>
      <c r="P45" s="80">
        <f t="shared" si="12"/>
        <v>527.13328203573462</v>
      </c>
      <c r="Q45" s="93"/>
      <c r="R45" s="80">
        <f t="shared" si="13"/>
        <v>395.34996152680094</v>
      </c>
      <c r="S45" s="92"/>
      <c r="T45" s="81">
        <f t="shared" si="14"/>
        <v>367.67546421992489</v>
      </c>
      <c r="U45" s="228"/>
      <c r="V45" s="258"/>
      <c r="W45" s="91">
        <f t="shared" si="15"/>
        <v>520.64548779529468</v>
      </c>
      <c r="X45" s="92"/>
      <c r="Y45" s="80">
        <f t="shared" si="16"/>
        <v>486.58456803298566</v>
      </c>
      <c r="Z45" s="93"/>
      <c r="AA45" s="80">
        <f t="shared" si="17"/>
        <v>364.93842602473921</v>
      </c>
      <c r="AB45" s="92"/>
      <c r="AC45" s="81">
        <f t="shared" si="18"/>
        <v>339.39273620300747</v>
      </c>
      <c r="AD45" s="63"/>
      <c r="AE45" s="16" t="s">
        <v>11</v>
      </c>
      <c r="AF45" s="54">
        <v>3</v>
      </c>
      <c r="AG45" s="20">
        <f t="shared" si="19"/>
        <v>1506.0950915306696</v>
      </c>
      <c r="AH45" s="21">
        <f t="shared" si="19"/>
        <v>1317.8332050893362</v>
      </c>
      <c r="AI45" s="21">
        <f t="shared" si="19"/>
        <v>1171.4072934127432</v>
      </c>
      <c r="AJ45" s="21">
        <f t="shared" si="19"/>
        <v>1054.2665640714688</v>
      </c>
      <c r="AK45" s="21">
        <f t="shared" si="19"/>
        <v>958.42414915588097</v>
      </c>
      <c r="AL45" s="21">
        <f t="shared" si="19"/>
        <v>878.55547005955759</v>
      </c>
      <c r="AM45" s="21">
        <f t="shared" si="19"/>
        <v>810.97428005497602</v>
      </c>
      <c r="AN45" s="21">
        <f t="shared" si="19"/>
        <v>753.0475457653348</v>
      </c>
      <c r="AO45" s="21">
        <f t="shared" si="19"/>
        <v>702.84437604764594</v>
      </c>
      <c r="AP45" s="21">
        <f t="shared" si="19"/>
        <v>658.91660254466808</v>
      </c>
      <c r="AQ45" s="21">
        <f t="shared" si="19"/>
        <v>620.1568023949817</v>
      </c>
      <c r="AR45" s="21">
        <f t="shared" si="19"/>
        <v>585.70364670637161</v>
      </c>
      <c r="AS45" s="21">
        <f t="shared" si="19"/>
        <v>527.1332820357344</v>
      </c>
      <c r="AT45" s="22">
        <f t="shared" si="19"/>
        <v>479.21207457794048</v>
      </c>
    </row>
    <row r="46" spans="2:47" ht="15" customHeight="1" x14ac:dyDescent="0.25">
      <c r="B46" s="125"/>
      <c r="C46" s="299" t="s">
        <v>45</v>
      </c>
      <c r="D46" s="299"/>
      <c r="E46" s="297" t="s">
        <v>73</v>
      </c>
      <c r="F46" s="297"/>
      <c r="G46" s="297"/>
      <c r="H46" s="297"/>
      <c r="I46" s="297"/>
      <c r="J46" s="297"/>
      <c r="L46" s="225">
        <v>6</v>
      </c>
      <c r="M46" s="226"/>
      <c r="N46" s="81">
        <f t="shared" si="11"/>
        <v>470.02717648186336</v>
      </c>
      <c r="O46" s="92"/>
      <c r="P46" s="80">
        <f t="shared" si="12"/>
        <v>439.2777350297788</v>
      </c>
      <c r="Q46" s="93"/>
      <c r="R46" s="80">
        <f t="shared" si="13"/>
        <v>329.4583012723341</v>
      </c>
      <c r="S46" s="92"/>
      <c r="T46" s="81">
        <f t="shared" si="14"/>
        <v>306.39622018327071</v>
      </c>
      <c r="U46" s="228"/>
      <c r="V46" s="258"/>
      <c r="W46" s="91">
        <f t="shared" si="15"/>
        <v>433.87123982941222</v>
      </c>
      <c r="X46" s="92"/>
      <c r="Y46" s="80">
        <f t="shared" si="16"/>
        <v>405.48714002748801</v>
      </c>
      <c r="Z46" s="93"/>
      <c r="AA46" s="80">
        <f t="shared" si="17"/>
        <v>304.11535502061599</v>
      </c>
      <c r="AB46" s="92"/>
      <c r="AC46" s="81">
        <f t="shared" si="18"/>
        <v>282.82728016917287</v>
      </c>
      <c r="AD46" s="63"/>
      <c r="AE46" s="16" t="s">
        <v>11</v>
      </c>
      <c r="AF46" s="54">
        <v>4</v>
      </c>
      <c r="AG46" s="20">
        <f t="shared" si="19"/>
        <v>1129.5713186480025</v>
      </c>
      <c r="AH46" s="21">
        <f t="shared" si="19"/>
        <v>988.37490381700206</v>
      </c>
      <c r="AI46" s="21">
        <f t="shared" si="19"/>
        <v>878.55547005955736</v>
      </c>
      <c r="AJ46" s="21">
        <f t="shared" si="19"/>
        <v>790.69992305360165</v>
      </c>
      <c r="AK46" s="21">
        <f t="shared" si="19"/>
        <v>718.81811186691061</v>
      </c>
      <c r="AL46" s="21">
        <f t="shared" si="19"/>
        <v>658.91660254466819</v>
      </c>
      <c r="AM46" s="21">
        <f t="shared" si="19"/>
        <v>608.23071004123199</v>
      </c>
      <c r="AN46" s="21">
        <f t="shared" si="19"/>
        <v>564.78565932400124</v>
      </c>
      <c r="AO46" s="21">
        <f t="shared" si="19"/>
        <v>527.13328203573451</v>
      </c>
      <c r="AP46" s="21">
        <f t="shared" si="19"/>
        <v>494.18745190850103</v>
      </c>
      <c r="AQ46" s="21">
        <f t="shared" si="19"/>
        <v>465.11760179623633</v>
      </c>
      <c r="AR46" s="21">
        <f t="shared" si="19"/>
        <v>439.27773502977868</v>
      </c>
      <c r="AS46" s="21">
        <f t="shared" si="19"/>
        <v>395.34996152680083</v>
      </c>
      <c r="AT46" s="22">
        <f t="shared" si="19"/>
        <v>359.40905593345531</v>
      </c>
    </row>
    <row r="47" spans="2:47" ht="15" customHeight="1" x14ac:dyDescent="0.25">
      <c r="B47" s="125"/>
      <c r="C47" s="299"/>
      <c r="D47" s="299"/>
      <c r="E47" s="297"/>
      <c r="F47" s="297"/>
      <c r="G47" s="297"/>
      <c r="H47" s="297"/>
      <c r="I47" s="297"/>
      <c r="J47" s="297"/>
      <c r="L47" s="225">
        <v>8</v>
      </c>
      <c r="M47" s="226"/>
      <c r="N47" s="81">
        <f t="shared" si="11"/>
        <v>352.52038236139748</v>
      </c>
      <c r="O47" s="92"/>
      <c r="P47" s="80">
        <f t="shared" si="12"/>
        <v>329.4583012723341</v>
      </c>
      <c r="Q47" s="93"/>
      <c r="R47" s="80">
        <f t="shared" si="13"/>
        <v>247.09372595425057</v>
      </c>
      <c r="S47" s="92"/>
      <c r="T47" s="81">
        <f t="shared" si="14"/>
        <v>229.79716513745305</v>
      </c>
      <c r="U47" s="228"/>
      <c r="V47" s="258"/>
      <c r="W47" s="101">
        <f t="shared" si="15"/>
        <v>325.40342987205912</v>
      </c>
      <c r="X47" s="97"/>
      <c r="Y47" s="98">
        <f t="shared" si="16"/>
        <v>304.11535502061599</v>
      </c>
      <c r="Z47" s="99"/>
      <c r="AA47" s="98">
        <f t="shared" si="17"/>
        <v>228.086516265462</v>
      </c>
      <c r="AB47" s="97"/>
      <c r="AC47" s="96">
        <f t="shared" si="18"/>
        <v>212.12046012687966</v>
      </c>
      <c r="AD47" s="63"/>
      <c r="AE47" s="16" t="s">
        <v>11</v>
      </c>
      <c r="AF47" s="54">
        <v>5</v>
      </c>
      <c r="AG47" s="20">
        <f t="shared" si="19"/>
        <v>903.65705491840197</v>
      </c>
      <c r="AH47" s="21">
        <f t="shared" si="19"/>
        <v>790.69992305360165</v>
      </c>
      <c r="AI47" s="21">
        <f t="shared" si="19"/>
        <v>702.84437604764594</v>
      </c>
      <c r="AJ47" s="21">
        <f t="shared" si="19"/>
        <v>632.55993844288139</v>
      </c>
      <c r="AK47" s="21">
        <f t="shared" si="19"/>
        <v>575.05448949352854</v>
      </c>
      <c r="AL47" s="21">
        <f t="shared" si="19"/>
        <v>527.13328203573462</v>
      </c>
      <c r="AM47" s="21">
        <f t="shared" si="19"/>
        <v>486.58456803298566</v>
      </c>
      <c r="AN47" s="21">
        <f t="shared" si="19"/>
        <v>451.82852745920098</v>
      </c>
      <c r="AO47" s="21">
        <f t="shared" si="19"/>
        <v>421.70662562858763</v>
      </c>
      <c r="AP47" s="21">
        <f t="shared" si="19"/>
        <v>395.34996152680083</v>
      </c>
      <c r="AQ47" s="21">
        <f t="shared" si="19"/>
        <v>372.09408143698909</v>
      </c>
      <c r="AR47" s="21">
        <f t="shared" si="19"/>
        <v>351.42218802382297</v>
      </c>
      <c r="AS47" s="21">
        <f t="shared" si="19"/>
        <v>316.27996922144069</v>
      </c>
      <c r="AT47" s="22">
        <f t="shared" si="19"/>
        <v>287.52724474676427</v>
      </c>
    </row>
    <row r="48" spans="2:47" s="63" customFormat="1" ht="15" customHeight="1" x14ac:dyDescent="0.25">
      <c r="B48" s="127"/>
      <c r="C48" s="116"/>
      <c r="D48" s="116"/>
      <c r="E48" s="203"/>
      <c r="F48" s="204"/>
      <c r="G48" s="203"/>
      <c r="H48" s="203"/>
      <c r="I48" s="203"/>
      <c r="J48" s="203"/>
      <c r="L48" s="100"/>
      <c r="M48" s="100"/>
      <c r="N48" s="79"/>
      <c r="O48" s="77"/>
      <c r="P48" s="79"/>
      <c r="Q48" s="77"/>
      <c r="R48" s="79"/>
      <c r="S48" s="77"/>
      <c r="T48" s="79"/>
      <c r="U48" s="100"/>
      <c r="V48" s="100"/>
      <c r="W48" s="79"/>
      <c r="X48" s="77"/>
      <c r="Y48" s="79"/>
      <c r="Z48" s="77"/>
      <c r="AA48" s="79"/>
      <c r="AB48" s="77"/>
      <c r="AC48" s="79"/>
      <c r="AE48" s="16" t="s">
        <v>11</v>
      </c>
      <c r="AF48" s="54">
        <v>6</v>
      </c>
      <c r="AG48" s="20">
        <f t="shared" si="19"/>
        <v>753.0475457653348</v>
      </c>
      <c r="AH48" s="21">
        <f t="shared" si="19"/>
        <v>658.91660254466808</v>
      </c>
      <c r="AI48" s="21">
        <f t="shared" si="19"/>
        <v>585.70364670637161</v>
      </c>
      <c r="AJ48" s="21">
        <f t="shared" si="19"/>
        <v>527.1332820357344</v>
      </c>
      <c r="AK48" s="21">
        <f t="shared" si="19"/>
        <v>479.21207457794048</v>
      </c>
      <c r="AL48" s="21">
        <f t="shared" si="19"/>
        <v>439.2777350297788</v>
      </c>
      <c r="AM48" s="21">
        <f t="shared" si="19"/>
        <v>405.48714002748801</v>
      </c>
      <c r="AN48" s="21">
        <f t="shared" si="19"/>
        <v>376.5237728826674</v>
      </c>
      <c r="AO48" s="21">
        <f t="shared" si="19"/>
        <v>351.42218802382297</v>
      </c>
      <c r="AP48" s="21">
        <f t="shared" si="19"/>
        <v>329.45830127233404</v>
      </c>
      <c r="AQ48" s="21">
        <f t="shared" si="19"/>
        <v>310.07840119749085</v>
      </c>
      <c r="AR48" s="21">
        <f t="shared" si="19"/>
        <v>292.85182335318581</v>
      </c>
      <c r="AS48" s="21">
        <f t="shared" si="19"/>
        <v>263.5666410178672</v>
      </c>
      <c r="AT48" s="22">
        <f t="shared" si="19"/>
        <v>239.60603728897024</v>
      </c>
    </row>
    <row r="49" spans="2:46" ht="15" customHeight="1" thickBot="1" x14ac:dyDescent="0.3">
      <c r="B49" s="125"/>
      <c r="C49" s="300" t="s">
        <v>46</v>
      </c>
      <c r="D49" s="300"/>
      <c r="E49" s="298" t="s">
        <v>72</v>
      </c>
      <c r="F49" s="298"/>
      <c r="G49" s="298"/>
      <c r="H49" s="298"/>
      <c r="I49" s="298"/>
      <c r="J49" s="298"/>
      <c r="L49" s="225">
        <v>2</v>
      </c>
      <c r="M49" s="226"/>
      <c r="N49" s="81">
        <f t="shared" si="11"/>
        <v>1692.0978353347077</v>
      </c>
      <c r="O49" s="92"/>
      <c r="P49" s="80">
        <f t="shared" ref="P49:P54" si="20">400/3.6/(Q$33/2*25.4/1000)*30/3.14/(L49*3.7)*1.4</f>
        <v>1581.3998461072033</v>
      </c>
      <c r="Q49" s="93"/>
      <c r="R49" s="80">
        <f t="shared" si="13"/>
        <v>1186.0498845804025</v>
      </c>
      <c r="S49" s="92"/>
      <c r="T49" s="81">
        <f t="shared" si="14"/>
        <v>1103.0263926597743</v>
      </c>
      <c r="U49" s="258" t="s">
        <v>28</v>
      </c>
      <c r="V49" s="258"/>
      <c r="W49" s="81">
        <f t="shared" si="15"/>
        <v>1538.2707593951889</v>
      </c>
      <c r="X49" s="92"/>
      <c r="Y49" s="80">
        <f t="shared" ref="Y49:Y54" si="21">400/3.6/(W$33/2*25.4/1000)*30/3.14/(L49*3.7)*1.4</f>
        <v>1437.6362237338212</v>
      </c>
      <c r="Z49" s="93"/>
      <c r="AA49" s="80">
        <f t="shared" si="17"/>
        <v>1078.2271678003658</v>
      </c>
      <c r="AB49" s="92"/>
      <c r="AC49" s="81">
        <f t="shared" si="18"/>
        <v>1002.7512660543402</v>
      </c>
      <c r="AD49" s="63"/>
      <c r="AE49" s="23" t="s">
        <v>11</v>
      </c>
      <c r="AF49" s="24">
        <v>8</v>
      </c>
      <c r="AG49" s="25">
        <f t="shared" si="19"/>
        <v>564.78565932400124</v>
      </c>
      <c r="AH49" s="26">
        <f t="shared" si="19"/>
        <v>494.18745190850103</v>
      </c>
      <c r="AI49" s="26">
        <f t="shared" si="19"/>
        <v>439.27773502977868</v>
      </c>
      <c r="AJ49" s="26">
        <f t="shared" si="19"/>
        <v>395.34996152680083</v>
      </c>
      <c r="AK49" s="26">
        <f t="shared" si="19"/>
        <v>359.40905593345531</v>
      </c>
      <c r="AL49" s="26">
        <f t="shared" si="19"/>
        <v>329.4583012723341</v>
      </c>
      <c r="AM49" s="26">
        <f t="shared" si="19"/>
        <v>304.11535502061599</v>
      </c>
      <c r="AN49" s="26">
        <f t="shared" si="19"/>
        <v>282.39282966200062</v>
      </c>
      <c r="AO49" s="26">
        <f t="shared" si="19"/>
        <v>263.56664101786725</v>
      </c>
      <c r="AP49" s="26">
        <f t="shared" si="19"/>
        <v>247.09372595425052</v>
      </c>
      <c r="AQ49" s="26">
        <f t="shared" si="19"/>
        <v>232.55880089811816</v>
      </c>
      <c r="AR49" s="26">
        <f t="shared" si="19"/>
        <v>219.63886751488934</v>
      </c>
      <c r="AS49" s="26">
        <f t="shared" si="19"/>
        <v>197.67498076340041</v>
      </c>
      <c r="AT49" s="27">
        <f t="shared" si="19"/>
        <v>179.70452796672765</v>
      </c>
    </row>
    <row r="50" spans="2:46" ht="15" customHeight="1" thickBot="1" x14ac:dyDescent="0.3">
      <c r="B50" s="125"/>
      <c r="C50" s="300"/>
      <c r="D50" s="300"/>
      <c r="E50" s="298"/>
      <c r="F50" s="298"/>
      <c r="G50" s="298"/>
      <c r="H50" s="298"/>
      <c r="I50" s="298"/>
      <c r="J50" s="298"/>
      <c r="K50" s="2"/>
      <c r="L50" s="225">
        <v>3</v>
      </c>
      <c r="M50" s="226"/>
      <c r="N50" s="81">
        <f t="shared" si="11"/>
        <v>1128.0652235564717</v>
      </c>
      <c r="O50" s="92"/>
      <c r="P50" s="80">
        <f t="shared" si="20"/>
        <v>1054.2665640714688</v>
      </c>
      <c r="Q50" s="93"/>
      <c r="R50" s="80">
        <f t="shared" si="13"/>
        <v>790.69992305360165</v>
      </c>
      <c r="S50" s="92"/>
      <c r="T50" s="81">
        <f t="shared" si="14"/>
        <v>735.35092843984955</v>
      </c>
      <c r="U50" s="258"/>
      <c r="V50" s="258"/>
      <c r="W50" s="81">
        <f t="shared" si="15"/>
        <v>1025.5138395967926</v>
      </c>
      <c r="X50" s="92"/>
      <c r="Y50" s="80">
        <f t="shared" si="21"/>
        <v>958.42414915588097</v>
      </c>
      <c r="Z50" s="93"/>
      <c r="AA50" s="80">
        <f t="shared" si="17"/>
        <v>718.81811186691073</v>
      </c>
      <c r="AB50" s="92"/>
      <c r="AC50" s="81">
        <f t="shared" si="18"/>
        <v>668.50084403622702</v>
      </c>
      <c r="AD50" s="63"/>
      <c r="AE50" s="277" t="s">
        <v>21</v>
      </c>
      <c r="AF50" s="278"/>
      <c r="AG50" s="279" t="s">
        <v>19</v>
      </c>
      <c r="AH50" s="280"/>
      <c r="AI50" s="280"/>
      <c r="AJ50" s="280"/>
      <c r="AK50" s="280"/>
      <c r="AL50" s="280"/>
      <c r="AM50" s="280"/>
      <c r="AN50" s="280"/>
      <c r="AO50" s="280"/>
      <c r="AP50" s="280"/>
      <c r="AQ50" s="280"/>
      <c r="AR50" s="280"/>
      <c r="AS50" s="280"/>
      <c r="AT50" s="281"/>
    </row>
    <row r="51" spans="2:46" ht="15" customHeight="1" x14ac:dyDescent="0.25">
      <c r="B51" s="125"/>
      <c r="K51" s="63"/>
      <c r="L51" s="225">
        <v>4</v>
      </c>
      <c r="M51" s="226"/>
      <c r="N51" s="81">
        <f t="shared" si="11"/>
        <v>846.04891766735386</v>
      </c>
      <c r="O51" s="92"/>
      <c r="P51" s="80">
        <f t="shared" si="20"/>
        <v>790.69992305360165</v>
      </c>
      <c r="Q51" s="93"/>
      <c r="R51" s="80">
        <f t="shared" si="13"/>
        <v>593.02494229020124</v>
      </c>
      <c r="S51" s="92"/>
      <c r="T51" s="81">
        <f t="shared" si="14"/>
        <v>551.51319632988714</v>
      </c>
      <c r="U51" s="258"/>
      <c r="V51" s="258"/>
      <c r="W51" s="81">
        <f t="shared" si="15"/>
        <v>769.13537969759443</v>
      </c>
      <c r="X51" s="92"/>
      <c r="Y51" s="80">
        <f t="shared" si="21"/>
        <v>718.81811186691061</v>
      </c>
      <c r="Z51" s="93"/>
      <c r="AA51" s="80">
        <f t="shared" si="17"/>
        <v>539.1135839001829</v>
      </c>
      <c r="AB51" s="92"/>
      <c r="AC51" s="81">
        <f t="shared" si="18"/>
        <v>501.37563302717012</v>
      </c>
      <c r="AD51" s="63"/>
      <c r="AE51" s="282" t="s">
        <v>24</v>
      </c>
      <c r="AF51" s="283"/>
      <c r="AG51" s="283"/>
      <c r="AH51" s="283"/>
      <c r="AI51" s="283"/>
      <c r="AJ51" s="283"/>
      <c r="AK51" s="283"/>
      <c r="AL51" s="283"/>
      <c r="AM51" s="283"/>
      <c r="AN51" s="283"/>
      <c r="AO51" s="283"/>
      <c r="AP51" s="283"/>
      <c r="AQ51" s="283"/>
      <c r="AR51" s="283"/>
      <c r="AS51" s="283"/>
      <c r="AT51" s="284"/>
    </row>
    <row r="52" spans="2:46" ht="15" customHeight="1" x14ac:dyDescent="0.25">
      <c r="B52" s="125"/>
      <c r="C52" s="261" t="s">
        <v>40</v>
      </c>
      <c r="D52" s="261"/>
      <c r="E52" s="261"/>
      <c r="F52" s="261"/>
      <c r="G52" s="261"/>
      <c r="H52" s="261"/>
      <c r="I52" s="261"/>
      <c r="J52" s="261"/>
      <c r="K52" s="63"/>
      <c r="L52" s="225">
        <v>5</v>
      </c>
      <c r="M52" s="226"/>
      <c r="N52" s="81">
        <f t="shared" si="11"/>
        <v>676.83913413388314</v>
      </c>
      <c r="O52" s="92"/>
      <c r="P52" s="80">
        <f t="shared" si="20"/>
        <v>632.55993844288139</v>
      </c>
      <c r="Q52" s="93"/>
      <c r="R52" s="80">
        <f t="shared" si="13"/>
        <v>474.41995383216101</v>
      </c>
      <c r="S52" s="92"/>
      <c r="T52" s="81">
        <f t="shared" si="14"/>
        <v>441.21055706390979</v>
      </c>
      <c r="U52" s="258"/>
      <c r="V52" s="258"/>
      <c r="W52" s="81">
        <f t="shared" si="15"/>
        <v>615.30830375807557</v>
      </c>
      <c r="X52" s="92"/>
      <c r="Y52" s="80">
        <f t="shared" si="21"/>
        <v>575.05448949352854</v>
      </c>
      <c r="Z52" s="93"/>
      <c r="AA52" s="80">
        <f t="shared" si="17"/>
        <v>431.2908671201464</v>
      </c>
      <c r="AB52" s="92"/>
      <c r="AC52" s="81">
        <f t="shared" si="18"/>
        <v>401.10050642173616</v>
      </c>
      <c r="AD52" s="63"/>
      <c r="AE52" s="285"/>
      <c r="AF52" s="286"/>
      <c r="AG52" s="286"/>
      <c r="AH52" s="286"/>
      <c r="AI52" s="286"/>
      <c r="AJ52" s="286"/>
      <c r="AK52" s="286"/>
      <c r="AL52" s="286"/>
      <c r="AM52" s="286"/>
      <c r="AN52" s="286"/>
      <c r="AO52" s="286"/>
      <c r="AP52" s="286"/>
      <c r="AQ52" s="286"/>
      <c r="AR52" s="286"/>
      <c r="AS52" s="286"/>
      <c r="AT52" s="287"/>
    </row>
    <row r="53" spans="2:46" ht="15" customHeight="1" thickBot="1" x14ac:dyDescent="0.3">
      <c r="B53" s="125"/>
      <c r="C53" s="261"/>
      <c r="D53" s="261"/>
      <c r="E53" s="261"/>
      <c r="F53" s="261"/>
      <c r="G53" s="261"/>
      <c r="H53" s="261"/>
      <c r="I53" s="261"/>
      <c r="J53" s="261"/>
      <c r="K53" s="63"/>
      <c r="L53" s="225">
        <v>6</v>
      </c>
      <c r="M53" s="226"/>
      <c r="N53" s="81">
        <f t="shared" si="11"/>
        <v>564.03261177823583</v>
      </c>
      <c r="O53" s="92"/>
      <c r="P53" s="80">
        <f t="shared" si="20"/>
        <v>527.1332820357344</v>
      </c>
      <c r="Q53" s="93"/>
      <c r="R53" s="80">
        <f t="shared" si="13"/>
        <v>395.34996152680083</v>
      </c>
      <c r="S53" s="92"/>
      <c r="T53" s="81">
        <f t="shared" si="14"/>
        <v>367.67546421992478</v>
      </c>
      <c r="U53" s="258"/>
      <c r="V53" s="258"/>
      <c r="W53" s="81">
        <f t="shared" si="15"/>
        <v>512.75691979839632</v>
      </c>
      <c r="X53" s="92"/>
      <c r="Y53" s="80">
        <f t="shared" si="21"/>
        <v>479.21207457794048</v>
      </c>
      <c r="Z53" s="93"/>
      <c r="AA53" s="80">
        <f t="shared" si="17"/>
        <v>359.40905593345536</v>
      </c>
      <c r="AB53" s="92"/>
      <c r="AC53" s="81">
        <f t="shared" si="18"/>
        <v>334.25042201811351</v>
      </c>
      <c r="AD53" s="63"/>
      <c r="AE53" s="288"/>
      <c r="AF53" s="289"/>
      <c r="AG53" s="289"/>
      <c r="AH53" s="289"/>
      <c r="AI53" s="289"/>
      <c r="AJ53" s="289"/>
      <c r="AK53" s="289"/>
      <c r="AL53" s="289"/>
      <c r="AM53" s="289"/>
      <c r="AN53" s="289"/>
      <c r="AO53" s="289"/>
      <c r="AP53" s="289"/>
      <c r="AQ53" s="289"/>
      <c r="AR53" s="289"/>
      <c r="AS53" s="289"/>
      <c r="AT53" s="290"/>
    </row>
    <row r="54" spans="2:46" ht="15" customHeight="1" thickBot="1" x14ac:dyDescent="0.3">
      <c r="B54" s="125"/>
      <c r="C54" s="260" t="s">
        <v>48</v>
      </c>
      <c r="D54" s="260"/>
      <c r="E54" s="260"/>
      <c r="F54" s="260"/>
      <c r="G54" s="260"/>
      <c r="H54" s="260"/>
      <c r="I54" s="260"/>
      <c r="J54" s="260"/>
      <c r="K54" s="63"/>
      <c r="L54" s="225">
        <v>8</v>
      </c>
      <c r="M54" s="226"/>
      <c r="N54" s="81">
        <f t="shared" si="11"/>
        <v>423.02445883367693</v>
      </c>
      <c r="O54" s="92"/>
      <c r="P54" s="80">
        <f t="shared" si="20"/>
        <v>395.34996152680083</v>
      </c>
      <c r="Q54" s="93"/>
      <c r="R54" s="80">
        <f t="shared" si="13"/>
        <v>296.51247114510062</v>
      </c>
      <c r="S54" s="92"/>
      <c r="T54" s="81">
        <f t="shared" si="14"/>
        <v>275.75659816494357</v>
      </c>
      <c r="U54" s="258"/>
      <c r="V54" s="258"/>
      <c r="W54" s="81">
        <f t="shared" si="15"/>
        <v>384.56768984879722</v>
      </c>
      <c r="X54" s="92"/>
      <c r="Y54" s="80">
        <f t="shared" si="21"/>
        <v>359.40905593345531</v>
      </c>
      <c r="Z54" s="93"/>
      <c r="AA54" s="80">
        <f t="shared" si="17"/>
        <v>269.55679195009145</v>
      </c>
      <c r="AB54" s="92"/>
      <c r="AC54" s="81">
        <f t="shared" si="18"/>
        <v>250.68781651358506</v>
      </c>
      <c r="AD54" s="63"/>
      <c r="AE54" s="295" t="s">
        <v>9</v>
      </c>
      <c r="AF54" s="296"/>
      <c r="AG54" s="136" t="s">
        <v>22</v>
      </c>
      <c r="AH54" s="137"/>
      <c r="AI54" s="137"/>
      <c r="AJ54" s="137"/>
      <c r="AK54" s="137"/>
      <c r="AL54" s="137"/>
      <c r="AM54" s="137"/>
      <c r="AN54" s="137"/>
      <c r="AO54" s="137"/>
      <c r="AP54" s="137"/>
      <c r="AQ54" s="137"/>
      <c r="AR54" s="137"/>
      <c r="AS54" s="137"/>
      <c r="AT54" s="138"/>
    </row>
    <row r="55" spans="2:46" ht="15" customHeight="1" thickBot="1" x14ac:dyDescent="0.3">
      <c r="B55" s="125"/>
      <c r="C55" s="260"/>
      <c r="D55" s="260"/>
      <c r="E55" s="260"/>
      <c r="F55" s="260"/>
      <c r="G55" s="260"/>
      <c r="H55" s="260"/>
      <c r="I55" s="260"/>
      <c r="J55" s="260"/>
      <c r="K55" s="63"/>
      <c r="L55" s="100"/>
      <c r="M55" s="100"/>
      <c r="N55" s="79"/>
      <c r="O55" s="77"/>
      <c r="P55" s="79"/>
      <c r="Q55" s="77"/>
      <c r="R55" s="79"/>
      <c r="S55" s="77"/>
      <c r="T55" s="79"/>
      <c r="U55" s="100"/>
      <c r="V55" s="100"/>
      <c r="W55" s="79"/>
      <c r="X55" s="77"/>
      <c r="Y55" s="79"/>
      <c r="Z55" s="77"/>
      <c r="AA55" s="79"/>
      <c r="AB55" s="77"/>
      <c r="AC55" s="79"/>
      <c r="AD55" s="63"/>
      <c r="AE55" s="291" t="s">
        <v>33</v>
      </c>
      <c r="AF55" s="292"/>
      <c r="AG55" s="176" t="s">
        <v>23</v>
      </c>
      <c r="AH55" s="177"/>
      <c r="AI55" s="177"/>
      <c r="AJ55" s="177"/>
      <c r="AK55" s="177"/>
      <c r="AL55" s="177"/>
      <c r="AM55" s="177"/>
      <c r="AN55" s="177"/>
      <c r="AO55" s="177"/>
      <c r="AP55" s="177"/>
      <c r="AQ55" s="177"/>
      <c r="AR55" s="177"/>
      <c r="AS55" s="177"/>
      <c r="AT55" s="178"/>
    </row>
    <row r="56" spans="2:46" ht="15" customHeight="1" thickBot="1" x14ac:dyDescent="0.3">
      <c r="B56" s="125"/>
      <c r="C56" s="260"/>
      <c r="D56" s="260"/>
      <c r="E56" s="260"/>
      <c r="F56" s="260"/>
      <c r="G56" s="260"/>
      <c r="H56" s="260"/>
      <c r="I56" s="260"/>
      <c r="J56" s="260"/>
      <c r="K56" s="63"/>
      <c r="L56" s="225">
        <v>2</v>
      </c>
      <c r="M56" s="226"/>
      <c r="N56" s="81">
        <f t="shared" si="11"/>
        <v>1880.1087059274528</v>
      </c>
      <c r="O56" s="92"/>
      <c r="P56" s="80">
        <f t="shared" ref="P56:P61" si="22">400/3.6/(Q$34/2*25.4/1000)*30/3.14/(L56*3.7)*1.4</f>
        <v>1757.1109401191147</v>
      </c>
      <c r="Q56" s="93"/>
      <c r="R56" s="80">
        <f t="shared" si="13"/>
        <v>1317.8332050893359</v>
      </c>
      <c r="S56" s="92"/>
      <c r="T56" s="81">
        <f t="shared" si="14"/>
        <v>1225.5848807330824</v>
      </c>
      <c r="U56" s="258" t="s">
        <v>44</v>
      </c>
      <c r="V56" s="258"/>
      <c r="W56" s="81">
        <f t="shared" si="15"/>
        <v>1692.0978353347077</v>
      </c>
      <c r="X56" s="92"/>
      <c r="Y56" s="80">
        <f t="shared" ref="Y56:Y61" si="23">400/3.6/(W$34/2*25.4/1000)*30/3.14/(L56*3.7)*1.4</f>
        <v>1581.3998461072033</v>
      </c>
      <c r="Z56" s="93"/>
      <c r="AA56" s="80">
        <f t="shared" si="17"/>
        <v>1186.0498845804025</v>
      </c>
      <c r="AB56" s="92"/>
      <c r="AC56" s="81">
        <f t="shared" si="18"/>
        <v>1103.0263926597743</v>
      </c>
      <c r="AD56" s="63"/>
      <c r="AE56" s="293"/>
      <c r="AF56" s="294"/>
      <c r="AG56" s="5">
        <v>7</v>
      </c>
      <c r="AH56" s="6">
        <v>8</v>
      </c>
      <c r="AI56" s="6">
        <v>9</v>
      </c>
      <c r="AJ56" s="6">
        <v>10</v>
      </c>
      <c r="AK56" s="6">
        <v>11</v>
      </c>
      <c r="AL56" s="6">
        <v>12</v>
      </c>
      <c r="AM56" s="6">
        <v>13</v>
      </c>
      <c r="AN56" s="6">
        <v>14</v>
      </c>
      <c r="AO56" s="6">
        <v>15</v>
      </c>
      <c r="AP56" s="6">
        <v>16</v>
      </c>
      <c r="AQ56" s="6">
        <v>17</v>
      </c>
      <c r="AR56" s="6">
        <v>18</v>
      </c>
      <c r="AS56" s="6">
        <v>20</v>
      </c>
      <c r="AT56" s="7">
        <v>22</v>
      </c>
    </row>
    <row r="57" spans="2:46" ht="15" customHeight="1" x14ac:dyDescent="0.25">
      <c r="B57" s="125"/>
      <c r="C57" s="260"/>
      <c r="D57" s="260"/>
      <c r="E57" s="260"/>
      <c r="F57" s="260"/>
      <c r="G57" s="260"/>
      <c r="H57" s="260"/>
      <c r="I57" s="260"/>
      <c r="J57" s="260"/>
      <c r="K57" s="63"/>
      <c r="L57" s="225">
        <v>3</v>
      </c>
      <c r="M57" s="226"/>
      <c r="N57" s="81">
        <f t="shared" si="11"/>
        <v>1253.4058039516353</v>
      </c>
      <c r="O57" s="92"/>
      <c r="P57" s="80">
        <f t="shared" si="22"/>
        <v>1171.4072934127432</v>
      </c>
      <c r="Q57" s="93"/>
      <c r="R57" s="80">
        <f t="shared" si="13"/>
        <v>878.55547005955736</v>
      </c>
      <c r="S57" s="92"/>
      <c r="T57" s="81">
        <f t="shared" si="14"/>
        <v>817.05658715538834</v>
      </c>
      <c r="U57" s="258"/>
      <c r="V57" s="258"/>
      <c r="W57" s="81">
        <f t="shared" si="15"/>
        <v>1128.0652235564717</v>
      </c>
      <c r="X57" s="92"/>
      <c r="Y57" s="80">
        <f t="shared" si="23"/>
        <v>1054.2665640714688</v>
      </c>
      <c r="Z57" s="93"/>
      <c r="AA57" s="80">
        <f t="shared" si="17"/>
        <v>790.69992305360165</v>
      </c>
      <c r="AB57" s="92"/>
      <c r="AC57" s="81">
        <f t="shared" si="18"/>
        <v>735.35092843984955</v>
      </c>
      <c r="AD57" s="63"/>
      <c r="AE57" s="16" t="s">
        <v>11</v>
      </c>
      <c r="AF57" s="54">
        <v>2</v>
      </c>
      <c r="AG57" s="167">
        <f t="shared" ref="AG57:AT57" si="24">AG$34/($AF44*3.7)*1.4</f>
        <v>1694.3569779720033</v>
      </c>
      <c r="AH57" s="168">
        <f t="shared" si="24"/>
        <v>1482.5623557255028</v>
      </c>
      <c r="AI57" s="168">
        <f t="shared" si="24"/>
        <v>1317.8332050893362</v>
      </c>
      <c r="AJ57" s="168">
        <f t="shared" si="24"/>
        <v>1186.0498845804025</v>
      </c>
      <c r="AK57" s="168">
        <f t="shared" si="24"/>
        <v>1078.2271678003658</v>
      </c>
      <c r="AL57" s="168">
        <f t="shared" si="24"/>
        <v>988.37490381700206</v>
      </c>
      <c r="AM57" s="168">
        <f t="shared" si="24"/>
        <v>912.34606506184787</v>
      </c>
      <c r="AN57" s="168">
        <f t="shared" si="24"/>
        <v>847.17848898600164</v>
      </c>
      <c r="AO57" s="168">
        <f t="shared" si="24"/>
        <v>790.69992305360154</v>
      </c>
      <c r="AP57" s="168">
        <f t="shared" si="24"/>
        <v>741.28117786275141</v>
      </c>
      <c r="AQ57" s="168">
        <f t="shared" si="24"/>
        <v>697.67640269435458</v>
      </c>
      <c r="AR57" s="168">
        <f t="shared" si="24"/>
        <v>658.91660254466808</v>
      </c>
      <c r="AS57" s="168">
        <f t="shared" si="24"/>
        <v>593.02494229020124</v>
      </c>
      <c r="AT57" s="169">
        <f t="shared" si="24"/>
        <v>539.1135839001829</v>
      </c>
    </row>
    <row r="58" spans="2:46" ht="15" customHeight="1" x14ac:dyDescent="0.25">
      <c r="B58" s="125"/>
      <c r="C58" s="260"/>
      <c r="D58" s="260"/>
      <c r="E58" s="260"/>
      <c r="F58" s="260"/>
      <c r="G58" s="260"/>
      <c r="H58" s="260"/>
      <c r="I58" s="260"/>
      <c r="J58" s="260"/>
      <c r="K58" s="2"/>
      <c r="L58" s="225">
        <v>4</v>
      </c>
      <c r="M58" s="226"/>
      <c r="N58" s="81">
        <f t="shared" si="11"/>
        <v>940.05435296372639</v>
      </c>
      <c r="O58" s="92"/>
      <c r="P58" s="80">
        <f t="shared" si="22"/>
        <v>878.55547005955736</v>
      </c>
      <c r="Q58" s="93"/>
      <c r="R58" s="80">
        <f t="shared" si="13"/>
        <v>658.91660254466797</v>
      </c>
      <c r="S58" s="92"/>
      <c r="T58" s="81">
        <f t="shared" si="14"/>
        <v>612.7924403665412</v>
      </c>
      <c r="U58" s="258"/>
      <c r="V58" s="258"/>
      <c r="W58" s="81">
        <f t="shared" si="15"/>
        <v>846.04891766735386</v>
      </c>
      <c r="X58" s="92"/>
      <c r="Y58" s="80">
        <f t="shared" si="23"/>
        <v>790.69992305360165</v>
      </c>
      <c r="Z58" s="93"/>
      <c r="AA58" s="80">
        <f t="shared" si="17"/>
        <v>593.02494229020124</v>
      </c>
      <c r="AB58" s="92"/>
      <c r="AC58" s="81">
        <f t="shared" si="18"/>
        <v>551.51319632988714</v>
      </c>
      <c r="AD58" s="63"/>
      <c r="AE58" s="16" t="s">
        <v>11</v>
      </c>
      <c r="AF58" s="54">
        <v>3</v>
      </c>
      <c r="AG58" s="170">
        <f t="shared" ref="AG58:AT58" si="25">AG$34/($AF45*3.7)*1.4</f>
        <v>1129.5713186480023</v>
      </c>
      <c r="AH58" s="171">
        <f t="shared" si="25"/>
        <v>988.37490381700195</v>
      </c>
      <c r="AI58" s="171">
        <f t="shared" si="25"/>
        <v>878.55547005955725</v>
      </c>
      <c r="AJ58" s="171">
        <f t="shared" si="25"/>
        <v>790.69992305360154</v>
      </c>
      <c r="AK58" s="171">
        <f t="shared" si="25"/>
        <v>718.8181118669105</v>
      </c>
      <c r="AL58" s="171">
        <f t="shared" si="25"/>
        <v>658.91660254466808</v>
      </c>
      <c r="AM58" s="171">
        <f t="shared" si="25"/>
        <v>608.23071004123199</v>
      </c>
      <c r="AN58" s="171">
        <f t="shared" si="25"/>
        <v>564.78565932400113</v>
      </c>
      <c r="AO58" s="171">
        <f t="shared" si="25"/>
        <v>527.13328203573428</v>
      </c>
      <c r="AP58" s="171">
        <f t="shared" si="25"/>
        <v>494.18745190850098</v>
      </c>
      <c r="AQ58" s="171">
        <f t="shared" si="25"/>
        <v>465.11760179623633</v>
      </c>
      <c r="AR58" s="171">
        <f t="shared" si="25"/>
        <v>439.27773502977863</v>
      </c>
      <c r="AS58" s="171">
        <f t="shared" si="25"/>
        <v>395.34996152680077</v>
      </c>
      <c r="AT58" s="172">
        <f t="shared" si="25"/>
        <v>359.40905593345525</v>
      </c>
    </row>
    <row r="59" spans="2:46" ht="15" customHeight="1" x14ac:dyDescent="0.25">
      <c r="B59" s="125"/>
      <c r="C59" s="260"/>
      <c r="D59" s="260"/>
      <c r="E59" s="260"/>
      <c r="F59" s="260"/>
      <c r="G59" s="260"/>
      <c r="H59" s="260"/>
      <c r="I59" s="260"/>
      <c r="J59" s="260"/>
      <c r="L59" s="225">
        <v>5</v>
      </c>
      <c r="M59" s="226"/>
      <c r="N59" s="81">
        <f t="shared" si="11"/>
        <v>752.04348237098122</v>
      </c>
      <c r="O59" s="92"/>
      <c r="P59" s="80">
        <f t="shared" si="22"/>
        <v>702.84437604764594</v>
      </c>
      <c r="Q59" s="93"/>
      <c r="R59" s="80">
        <f t="shared" si="13"/>
        <v>527.13328203573451</v>
      </c>
      <c r="S59" s="92"/>
      <c r="T59" s="81">
        <f t="shared" si="14"/>
        <v>490.23395229323313</v>
      </c>
      <c r="U59" s="258"/>
      <c r="V59" s="258"/>
      <c r="W59" s="81">
        <f t="shared" si="15"/>
        <v>676.83913413388314</v>
      </c>
      <c r="X59" s="92"/>
      <c r="Y59" s="80">
        <f t="shared" si="23"/>
        <v>632.55993844288139</v>
      </c>
      <c r="Z59" s="93"/>
      <c r="AA59" s="80">
        <f t="shared" si="17"/>
        <v>474.41995383216101</v>
      </c>
      <c r="AB59" s="92"/>
      <c r="AC59" s="81">
        <f t="shared" si="18"/>
        <v>441.21055706390979</v>
      </c>
      <c r="AD59" s="63"/>
      <c r="AE59" s="16" t="s">
        <v>11</v>
      </c>
      <c r="AF59" s="54">
        <v>4</v>
      </c>
      <c r="AG59" s="170">
        <f t="shared" ref="AG59:AT59" si="26">AG$34/($AF46*3.7)*1.4</f>
        <v>847.17848898600164</v>
      </c>
      <c r="AH59" s="171">
        <f t="shared" si="26"/>
        <v>741.28117786275141</v>
      </c>
      <c r="AI59" s="171">
        <f t="shared" si="26"/>
        <v>658.91660254466808</v>
      </c>
      <c r="AJ59" s="171">
        <f t="shared" si="26"/>
        <v>593.02494229020124</v>
      </c>
      <c r="AK59" s="171">
        <f t="shared" si="26"/>
        <v>539.1135839001829</v>
      </c>
      <c r="AL59" s="171">
        <f t="shared" si="26"/>
        <v>494.18745190850103</v>
      </c>
      <c r="AM59" s="171">
        <f t="shared" si="26"/>
        <v>456.17303253092393</v>
      </c>
      <c r="AN59" s="171">
        <f t="shared" si="26"/>
        <v>423.58924449300082</v>
      </c>
      <c r="AO59" s="171">
        <f t="shared" si="26"/>
        <v>395.34996152680077</v>
      </c>
      <c r="AP59" s="171">
        <f t="shared" si="26"/>
        <v>370.6405889313757</v>
      </c>
      <c r="AQ59" s="171">
        <f t="shared" si="26"/>
        <v>348.83820134717729</v>
      </c>
      <c r="AR59" s="171">
        <f t="shared" si="26"/>
        <v>329.45830127233404</v>
      </c>
      <c r="AS59" s="171">
        <f t="shared" si="26"/>
        <v>296.51247114510062</v>
      </c>
      <c r="AT59" s="172">
        <f t="shared" si="26"/>
        <v>269.55679195009145</v>
      </c>
    </row>
    <row r="60" spans="2:46" ht="15" customHeight="1" x14ac:dyDescent="0.25">
      <c r="B60" s="125"/>
      <c r="C60" s="245" t="s">
        <v>47</v>
      </c>
      <c r="D60" s="245"/>
      <c r="E60" s="245"/>
      <c r="F60" s="245"/>
      <c r="G60" s="245"/>
      <c r="H60" s="245"/>
      <c r="I60" s="245"/>
      <c r="J60" s="245"/>
      <c r="K60" s="2"/>
      <c r="L60" s="225">
        <v>6</v>
      </c>
      <c r="M60" s="226"/>
      <c r="N60" s="81">
        <f t="shared" si="11"/>
        <v>626.70290197581767</v>
      </c>
      <c r="O60" s="92"/>
      <c r="P60" s="80">
        <f t="shared" si="22"/>
        <v>585.70364670637161</v>
      </c>
      <c r="Q60" s="93"/>
      <c r="R60" s="80">
        <f t="shared" si="13"/>
        <v>439.27773502977868</v>
      </c>
      <c r="S60" s="92"/>
      <c r="T60" s="81">
        <f t="shared" si="14"/>
        <v>408.52829357769417</v>
      </c>
      <c r="U60" s="258"/>
      <c r="V60" s="258"/>
      <c r="W60" s="81">
        <f t="shared" si="15"/>
        <v>564.03261177823583</v>
      </c>
      <c r="X60" s="92"/>
      <c r="Y60" s="80">
        <f t="shared" si="23"/>
        <v>527.1332820357344</v>
      </c>
      <c r="Z60" s="93"/>
      <c r="AA60" s="80">
        <f t="shared" si="17"/>
        <v>395.34996152680083</v>
      </c>
      <c r="AB60" s="92"/>
      <c r="AC60" s="81">
        <f t="shared" si="18"/>
        <v>367.67546421992478</v>
      </c>
      <c r="AD60" s="63"/>
      <c r="AE60" s="16" t="s">
        <v>11</v>
      </c>
      <c r="AF60" s="54">
        <v>5</v>
      </c>
      <c r="AG60" s="170">
        <f t="shared" ref="AG60:AT60" si="27">AG$34/($AF47*3.7)*1.4</f>
        <v>677.74279118880145</v>
      </c>
      <c r="AH60" s="171">
        <f t="shared" si="27"/>
        <v>593.02494229020124</v>
      </c>
      <c r="AI60" s="171">
        <f t="shared" si="27"/>
        <v>527.1332820357344</v>
      </c>
      <c r="AJ60" s="171">
        <f t="shared" si="27"/>
        <v>474.41995383216096</v>
      </c>
      <c r="AK60" s="171">
        <f t="shared" si="27"/>
        <v>431.29086712014634</v>
      </c>
      <c r="AL60" s="171">
        <f t="shared" si="27"/>
        <v>395.34996152680083</v>
      </c>
      <c r="AM60" s="171">
        <f t="shared" si="27"/>
        <v>364.93842602473916</v>
      </c>
      <c r="AN60" s="171">
        <f t="shared" si="27"/>
        <v>338.87139559440072</v>
      </c>
      <c r="AO60" s="171">
        <f t="shared" si="27"/>
        <v>316.27996922144064</v>
      </c>
      <c r="AP60" s="171">
        <f t="shared" si="27"/>
        <v>296.51247114510062</v>
      </c>
      <c r="AQ60" s="171">
        <f t="shared" si="27"/>
        <v>279.07056107774184</v>
      </c>
      <c r="AR60" s="171">
        <f t="shared" si="27"/>
        <v>263.5666410178672</v>
      </c>
      <c r="AS60" s="171">
        <f t="shared" si="27"/>
        <v>237.20997691608048</v>
      </c>
      <c r="AT60" s="172">
        <f t="shared" si="27"/>
        <v>215.64543356007317</v>
      </c>
    </row>
    <row r="61" spans="2:46" ht="15" customHeight="1" x14ac:dyDescent="0.25">
      <c r="B61" s="125"/>
      <c r="C61" s="245"/>
      <c r="D61" s="245"/>
      <c r="E61" s="245"/>
      <c r="F61" s="245"/>
      <c r="G61" s="245"/>
      <c r="H61" s="245"/>
      <c r="I61" s="245"/>
      <c r="J61" s="245"/>
      <c r="K61" s="2"/>
      <c r="L61" s="225">
        <v>8</v>
      </c>
      <c r="M61" s="226"/>
      <c r="N61" s="81">
        <f t="shared" si="11"/>
        <v>470.02717648186319</v>
      </c>
      <c r="O61" s="92"/>
      <c r="P61" s="80">
        <f t="shared" si="22"/>
        <v>439.27773502977868</v>
      </c>
      <c r="Q61" s="93"/>
      <c r="R61" s="80">
        <f t="shared" si="13"/>
        <v>329.45830127233398</v>
      </c>
      <c r="S61" s="92"/>
      <c r="T61" s="81">
        <f t="shared" si="14"/>
        <v>306.3962201832706</v>
      </c>
      <c r="U61" s="258"/>
      <c r="V61" s="258"/>
      <c r="W61" s="81">
        <f t="shared" si="15"/>
        <v>423.02445883367693</v>
      </c>
      <c r="X61" s="92"/>
      <c r="Y61" s="80">
        <f t="shared" si="23"/>
        <v>395.34996152680083</v>
      </c>
      <c r="Z61" s="93"/>
      <c r="AA61" s="80">
        <f t="shared" si="17"/>
        <v>296.51247114510062</v>
      </c>
      <c r="AB61" s="92"/>
      <c r="AC61" s="81">
        <f t="shared" si="18"/>
        <v>275.75659816494357</v>
      </c>
      <c r="AD61" s="63"/>
      <c r="AE61" s="16" t="s">
        <v>11</v>
      </c>
      <c r="AF61" s="54">
        <v>6</v>
      </c>
      <c r="AG61" s="170">
        <f t="shared" ref="AG61:AT61" si="28">AG$34/($AF48*3.7)*1.4</f>
        <v>564.78565932400113</v>
      </c>
      <c r="AH61" s="171">
        <f t="shared" si="28"/>
        <v>494.18745190850098</v>
      </c>
      <c r="AI61" s="171">
        <f t="shared" si="28"/>
        <v>439.27773502977863</v>
      </c>
      <c r="AJ61" s="171">
        <f t="shared" si="28"/>
        <v>395.34996152680077</v>
      </c>
      <c r="AK61" s="171">
        <f t="shared" si="28"/>
        <v>359.40905593345525</v>
      </c>
      <c r="AL61" s="171">
        <f t="shared" si="28"/>
        <v>329.45830127233404</v>
      </c>
      <c r="AM61" s="171">
        <f t="shared" si="28"/>
        <v>304.11535502061599</v>
      </c>
      <c r="AN61" s="171">
        <f t="shared" si="28"/>
        <v>282.39282966200057</v>
      </c>
      <c r="AO61" s="171">
        <f t="shared" si="28"/>
        <v>263.56664101786714</v>
      </c>
      <c r="AP61" s="171">
        <f t="shared" si="28"/>
        <v>247.09372595425049</v>
      </c>
      <c r="AQ61" s="171">
        <f t="shared" si="28"/>
        <v>232.55880089811816</v>
      </c>
      <c r="AR61" s="171">
        <f t="shared" si="28"/>
        <v>219.63886751488931</v>
      </c>
      <c r="AS61" s="171">
        <f t="shared" si="28"/>
        <v>197.67498076340038</v>
      </c>
      <c r="AT61" s="172">
        <f t="shared" si="28"/>
        <v>179.70452796672762</v>
      </c>
    </row>
    <row r="62" spans="2:46" ht="15" customHeight="1" thickBot="1" x14ac:dyDescent="0.3">
      <c r="B62" s="125"/>
      <c r="C62" s="245"/>
      <c r="D62" s="245"/>
      <c r="E62" s="245"/>
      <c r="F62" s="245"/>
      <c r="G62" s="245"/>
      <c r="H62" s="245"/>
      <c r="I62" s="245"/>
      <c r="J62" s="245"/>
      <c r="K62" s="2"/>
      <c r="L62" s="2"/>
      <c r="M62" s="2"/>
      <c r="N62" s="2"/>
      <c r="O62" s="78"/>
      <c r="P62" s="63"/>
      <c r="Q62" s="77"/>
      <c r="R62" s="2"/>
      <c r="S62" s="2"/>
      <c r="T62" s="2"/>
      <c r="U62" s="2"/>
      <c r="V62" s="63"/>
      <c r="W62" s="2"/>
      <c r="X62" s="2"/>
      <c r="Y62" s="2"/>
      <c r="AD62" s="63"/>
      <c r="AE62" s="23" t="s">
        <v>11</v>
      </c>
      <c r="AF62" s="24">
        <v>8</v>
      </c>
      <c r="AG62" s="173">
        <f t="shared" ref="AG62:AT62" si="29">AG$34/($AF49*3.7)*1.4</f>
        <v>423.58924449300082</v>
      </c>
      <c r="AH62" s="174">
        <f t="shared" si="29"/>
        <v>370.6405889313757</v>
      </c>
      <c r="AI62" s="174">
        <f t="shared" si="29"/>
        <v>329.45830127233404</v>
      </c>
      <c r="AJ62" s="174">
        <f t="shared" si="29"/>
        <v>296.51247114510062</v>
      </c>
      <c r="AK62" s="174">
        <f t="shared" si="29"/>
        <v>269.55679195009145</v>
      </c>
      <c r="AL62" s="174">
        <f t="shared" si="29"/>
        <v>247.09372595425052</v>
      </c>
      <c r="AM62" s="174">
        <f t="shared" si="29"/>
        <v>228.08651626546197</v>
      </c>
      <c r="AN62" s="174">
        <f t="shared" si="29"/>
        <v>211.79462224650041</v>
      </c>
      <c r="AO62" s="174">
        <f t="shared" si="29"/>
        <v>197.67498076340038</v>
      </c>
      <c r="AP62" s="174">
        <f t="shared" si="29"/>
        <v>185.32029446568785</v>
      </c>
      <c r="AQ62" s="174">
        <f t="shared" si="29"/>
        <v>174.41910067358864</v>
      </c>
      <c r="AR62" s="174">
        <f t="shared" si="29"/>
        <v>164.72915063616702</v>
      </c>
      <c r="AS62" s="174">
        <f t="shared" si="29"/>
        <v>148.25623557255031</v>
      </c>
      <c r="AT62" s="175">
        <f t="shared" si="29"/>
        <v>134.77839597504573</v>
      </c>
    </row>
    <row r="63" spans="2:46" ht="15" customHeight="1" thickBot="1" x14ac:dyDescent="0.3">
      <c r="B63" s="126"/>
      <c r="C63" s="245"/>
      <c r="D63" s="245"/>
      <c r="E63" s="245"/>
      <c r="F63" s="245"/>
      <c r="G63" s="245"/>
      <c r="H63" s="245"/>
      <c r="I63" s="245"/>
      <c r="J63" s="245"/>
      <c r="K63" s="2"/>
      <c r="L63" s="225" t="s">
        <v>34</v>
      </c>
      <c r="M63" s="226"/>
      <c r="N63" s="81">
        <f>P63*1.07</f>
        <v>428</v>
      </c>
      <c r="O63" s="92"/>
      <c r="P63" s="80">
        <v>400</v>
      </c>
      <c r="Q63" s="93"/>
      <c r="R63" s="80">
        <v>300</v>
      </c>
      <c r="S63" s="92"/>
      <c r="T63" s="89">
        <f>R63*0.93</f>
        <v>279</v>
      </c>
      <c r="U63" s="263" t="s">
        <v>5</v>
      </c>
      <c r="V63" s="263"/>
      <c r="W63" s="91">
        <f>Y63*1.07</f>
        <v>428</v>
      </c>
      <c r="X63" s="92"/>
      <c r="Y63" s="80">
        <v>400</v>
      </c>
      <c r="Z63" s="93"/>
      <c r="AA63" s="80">
        <v>300</v>
      </c>
      <c r="AB63" s="92"/>
      <c r="AC63" s="81">
        <f>AA63*0.93</f>
        <v>279</v>
      </c>
      <c r="AD63" s="119"/>
      <c r="AE63" s="277" t="s">
        <v>21</v>
      </c>
      <c r="AF63" s="278"/>
      <c r="AG63" s="279" t="s">
        <v>20</v>
      </c>
      <c r="AH63" s="280"/>
      <c r="AI63" s="280"/>
      <c r="AJ63" s="280"/>
      <c r="AK63" s="280"/>
      <c r="AL63" s="280"/>
      <c r="AM63" s="280"/>
      <c r="AN63" s="280"/>
      <c r="AO63" s="280"/>
      <c r="AP63" s="280"/>
      <c r="AQ63" s="280"/>
      <c r="AR63" s="280"/>
      <c r="AS63" s="280"/>
      <c r="AT63" s="281"/>
    </row>
    <row r="64" spans="2:46" ht="15" customHeight="1" x14ac:dyDescent="0.25">
      <c r="B64" s="126"/>
      <c r="C64" s="118"/>
      <c r="D64" s="118"/>
      <c r="E64" s="118"/>
      <c r="F64" s="118"/>
      <c r="G64" s="118"/>
      <c r="H64" s="118"/>
      <c r="I64" s="63"/>
      <c r="J64" s="63"/>
      <c r="K64" s="63"/>
      <c r="L64" s="118"/>
      <c r="M64" s="118"/>
      <c r="N64" s="118"/>
      <c r="O64" s="118"/>
      <c r="P64" s="118"/>
      <c r="Q64" s="118"/>
      <c r="R64" s="118"/>
      <c r="S64" s="118"/>
      <c r="T64" s="118"/>
      <c r="U64" s="118"/>
      <c r="V64" s="118"/>
      <c r="W64" s="118"/>
      <c r="X64" s="118"/>
      <c r="Y64" s="118"/>
      <c r="Z64" s="118"/>
      <c r="AA64" s="118"/>
      <c r="AB64" s="118"/>
      <c r="AC64" s="63"/>
      <c r="AD64" s="119"/>
      <c r="AE64" s="69"/>
      <c r="AN64" s="1"/>
      <c r="AO64" s="1"/>
      <c r="AP64" s="1"/>
    </row>
    <row r="65" spans="3:74" ht="15" customHeight="1" x14ac:dyDescent="0.25">
      <c r="C65" s="2"/>
      <c r="D65" s="2"/>
      <c r="E65" s="2"/>
      <c r="F65" s="2"/>
      <c r="G65" s="2"/>
      <c r="H65" s="2"/>
      <c r="I65" s="2"/>
      <c r="J65" s="2"/>
      <c r="K65" s="2"/>
      <c r="L65" s="63"/>
      <c r="M65" s="63"/>
      <c r="N65" s="63"/>
      <c r="O65" s="63"/>
      <c r="P65" s="63"/>
      <c r="Q65" s="63"/>
      <c r="R65" s="63"/>
      <c r="S65" s="63"/>
      <c r="T65" s="63"/>
      <c r="U65" s="63"/>
      <c r="V65" s="63"/>
      <c r="W65" s="63"/>
      <c r="X65" s="63"/>
      <c r="Y65" s="63"/>
      <c r="Z65" s="63"/>
      <c r="AA65" s="63"/>
      <c r="AB65" s="63"/>
      <c r="AC65" s="63"/>
      <c r="AD65" s="120"/>
      <c r="AE65" s="69"/>
      <c r="AF65" s="63"/>
    </row>
    <row r="66" spans="3:74" ht="15" customHeight="1" thickBot="1" x14ac:dyDescent="0.3">
      <c r="Z66" s="1"/>
      <c r="AA66" s="1"/>
      <c r="AB66" s="1"/>
      <c r="AC66" s="1"/>
      <c r="AN66" s="1"/>
      <c r="AO66" s="1"/>
      <c r="AP66" s="1"/>
    </row>
    <row r="67" spans="3:74" ht="15" customHeight="1" x14ac:dyDescent="0.25">
      <c r="C67" s="301" t="s">
        <v>12</v>
      </c>
      <c r="D67" s="302"/>
      <c r="E67" s="302"/>
      <c r="F67" s="303"/>
      <c r="G67" s="70" t="s">
        <v>13</v>
      </c>
      <c r="H67" s="71"/>
      <c r="I67" s="71"/>
      <c r="J67" s="71"/>
      <c r="K67" s="71"/>
      <c r="L67" s="71"/>
      <c r="M67" s="71"/>
      <c r="N67" s="71"/>
      <c r="O67" s="71"/>
      <c r="P67" s="71"/>
      <c r="Q67" s="71"/>
      <c r="R67" s="71"/>
      <c r="S67" s="71"/>
      <c r="T67" s="72"/>
      <c r="V67" s="70" t="s">
        <v>14</v>
      </c>
      <c r="W67" s="71"/>
      <c r="X67" s="71"/>
      <c r="Y67" s="71"/>
      <c r="Z67" s="71"/>
      <c r="AA67" s="71"/>
      <c r="AB67" s="71"/>
      <c r="AC67" s="71"/>
      <c r="AD67" s="71"/>
      <c r="AE67" s="71"/>
      <c r="AF67" s="71"/>
      <c r="AG67" s="71"/>
      <c r="AH67" s="71"/>
      <c r="AI67" s="107"/>
      <c r="AK67" s="70" t="s">
        <v>67</v>
      </c>
      <c r="AL67" s="71"/>
      <c r="AM67" s="71"/>
      <c r="AN67" s="71"/>
      <c r="AO67" s="71"/>
      <c r="AP67" s="71"/>
      <c r="AQ67" s="71"/>
      <c r="AR67" s="71"/>
      <c r="AS67" s="71"/>
      <c r="AT67" s="72"/>
    </row>
    <row r="68" spans="3:74" ht="15" customHeight="1" thickBot="1" x14ac:dyDescent="0.3">
      <c r="C68" s="304"/>
      <c r="D68" s="305"/>
      <c r="E68" s="305"/>
      <c r="F68" s="306"/>
      <c r="G68" s="108">
        <f t="shared" ref="G68:T68" si="30">(AG32*25.4/2)^2*3.14/1000000*4</f>
        <v>9.9264317599999985E-2</v>
      </c>
      <c r="H68" s="67">
        <f t="shared" si="30"/>
        <v>0.12965135359999999</v>
      </c>
      <c r="I68" s="67">
        <f t="shared" si="30"/>
        <v>0.16408999439999999</v>
      </c>
      <c r="J68" s="67">
        <f t="shared" si="30"/>
        <v>0.20258024000000002</v>
      </c>
      <c r="K68" s="67">
        <f t="shared" si="30"/>
        <v>0.24512209039999996</v>
      </c>
      <c r="L68" s="67">
        <f t="shared" si="30"/>
        <v>0.29171554559999996</v>
      </c>
      <c r="M68" s="67">
        <f t="shared" si="30"/>
        <v>0.34236060560000003</v>
      </c>
      <c r="N68" s="67">
        <f t="shared" si="30"/>
        <v>0.39705727039999994</v>
      </c>
      <c r="O68" s="67">
        <f t="shared" si="30"/>
        <v>0.45580554000000006</v>
      </c>
      <c r="P68" s="67">
        <f t="shared" si="30"/>
        <v>0.51860541439999996</v>
      </c>
      <c r="Q68" s="67">
        <f t="shared" si="30"/>
        <v>0.58545689359999997</v>
      </c>
      <c r="R68" s="67">
        <f t="shared" si="30"/>
        <v>0.65635997759999998</v>
      </c>
      <c r="S68" s="67">
        <f t="shared" si="30"/>
        <v>0.81032096000000009</v>
      </c>
      <c r="T68" s="68">
        <f t="shared" si="30"/>
        <v>0.98048836159999986</v>
      </c>
      <c r="V68" s="29">
        <f t="shared" ref="V68:AI68" si="31">(AG32*25.4/2)^2*3.14/1000000*6</f>
        <v>0.14889647639999998</v>
      </c>
      <c r="W68" s="28">
        <f t="shared" si="31"/>
        <v>0.19447703039999997</v>
      </c>
      <c r="X68" s="28">
        <f t="shared" si="31"/>
        <v>0.24613499159999999</v>
      </c>
      <c r="Y68" s="28">
        <f t="shared" si="31"/>
        <v>0.30387036000000001</v>
      </c>
      <c r="Z68" s="28">
        <f t="shared" si="31"/>
        <v>0.36768313559999993</v>
      </c>
      <c r="AA68" s="28">
        <f t="shared" si="31"/>
        <v>0.43757331839999991</v>
      </c>
      <c r="AB68" s="28">
        <f t="shared" si="31"/>
        <v>0.5135409084</v>
      </c>
      <c r="AC68" s="28">
        <f t="shared" si="31"/>
        <v>0.59558590559999991</v>
      </c>
      <c r="AD68" s="30">
        <f t="shared" si="31"/>
        <v>0.6837083100000001</v>
      </c>
      <c r="AE68" s="30">
        <f t="shared" si="31"/>
        <v>0.77790812159999989</v>
      </c>
      <c r="AF68" s="30">
        <f t="shared" si="31"/>
        <v>0.87818534039999996</v>
      </c>
      <c r="AG68" s="30">
        <f t="shared" si="31"/>
        <v>0.98453996639999997</v>
      </c>
      <c r="AH68" s="30">
        <f t="shared" si="31"/>
        <v>1.21548144</v>
      </c>
      <c r="AI68" s="31">
        <f t="shared" si="31"/>
        <v>1.4707325423999997</v>
      </c>
      <c r="AK68" s="29">
        <f>(AG32*25.4/2)^2*3.14/1000000*8</f>
        <v>0.19852863519999997</v>
      </c>
      <c r="AL68" s="28">
        <f t="shared" ref="AL68:AT68" si="32">(AH32*25.4/2)^2*3.14/1000000*8</f>
        <v>0.25930270719999998</v>
      </c>
      <c r="AM68" s="28">
        <f t="shared" si="32"/>
        <v>0.32817998879999999</v>
      </c>
      <c r="AN68" s="28">
        <f t="shared" si="32"/>
        <v>0.40516048000000005</v>
      </c>
      <c r="AO68" s="28">
        <f t="shared" si="32"/>
        <v>0.49024418079999993</v>
      </c>
      <c r="AP68" s="28">
        <f t="shared" si="32"/>
        <v>0.58343109119999992</v>
      </c>
      <c r="AQ68" s="28">
        <f t="shared" si="32"/>
        <v>0.68472121120000007</v>
      </c>
      <c r="AR68" s="28">
        <f t="shared" si="32"/>
        <v>0.79411454079999988</v>
      </c>
      <c r="AS68" s="30">
        <f t="shared" si="32"/>
        <v>0.91161108000000013</v>
      </c>
      <c r="AT68" s="31">
        <f t="shared" si="32"/>
        <v>1.0372108287999999</v>
      </c>
    </row>
    <row r="69" spans="3:74" ht="15" customHeight="1" thickBot="1" x14ac:dyDescent="0.3">
      <c r="Z69" s="1"/>
      <c r="AA69" s="1"/>
      <c r="AB69" s="1"/>
      <c r="AC69" s="1"/>
      <c r="AN69" s="1"/>
      <c r="AO69" s="1"/>
      <c r="AP69" s="1"/>
    </row>
    <row r="70" spans="3:74" ht="15" customHeight="1" thickBot="1" x14ac:dyDescent="0.3">
      <c r="C70" s="142"/>
      <c r="D70" s="142"/>
      <c r="E70" s="137"/>
      <c r="F70" s="142"/>
      <c r="G70" s="139" t="s">
        <v>25</v>
      </c>
      <c r="H70" s="140"/>
      <c r="I70" s="140"/>
      <c r="J70" s="140"/>
      <c r="K70" s="140"/>
      <c r="L70" s="140"/>
      <c r="M70" s="140"/>
      <c r="N70" s="140"/>
      <c r="O70" s="140"/>
      <c r="P70" s="140"/>
      <c r="Q70" s="140"/>
      <c r="R70" s="140"/>
      <c r="S70" s="140"/>
      <c r="T70" s="141"/>
      <c r="V70" s="139" t="s">
        <v>26</v>
      </c>
      <c r="W70" s="140"/>
      <c r="X70" s="140"/>
      <c r="Y70" s="140"/>
      <c r="Z70" s="140"/>
      <c r="AA70" s="140"/>
      <c r="AB70" s="140"/>
      <c r="AC70" s="140"/>
      <c r="AD70" s="140"/>
      <c r="AE70" s="140"/>
      <c r="AF70" s="140"/>
      <c r="AG70" s="140"/>
      <c r="AH70" s="140"/>
      <c r="AI70" s="141"/>
      <c r="AK70" s="139" t="s">
        <v>105</v>
      </c>
      <c r="AL70" s="140"/>
      <c r="AM70" s="140"/>
      <c r="AN70" s="140"/>
      <c r="AO70" s="140"/>
      <c r="AP70" s="140"/>
      <c r="AQ70" s="140"/>
      <c r="AR70" s="140"/>
      <c r="AS70" s="140"/>
      <c r="AT70" s="140"/>
    </row>
    <row r="71" spans="3:74" ht="15" customHeight="1" thickBot="1" x14ac:dyDescent="0.3">
      <c r="C71" s="307" t="s">
        <v>15</v>
      </c>
      <c r="D71" s="308"/>
      <c r="E71" s="308"/>
      <c r="F71" s="309"/>
      <c r="G71" s="5">
        <v>7</v>
      </c>
      <c r="H71" s="6">
        <v>8</v>
      </c>
      <c r="I71" s="6">
        <v>9</v>
      </c>
      <c r="J71" s="6">
        <v>10</v>
      </c>
      <c r="K71" s="6">
        <v>11</v>
      </c>
      <c r="L71" s="6">
        <v>12</v>
      </c>
      <c r="M71" s="6">
        <v>13</v>
      </c>
      <c r="N71" s="6">
        <v>14</v>
      </c>
      <c r="O71" s="6">
        <v>15</v>
      </c>
      <c r="P71" s="6">
        <v>16</v>
      </c>
      <c r="Q71" s="6">
        <v>17</v>
      </c>
      <c r="R71" s="6">
        <v>18</v>
      </c>
      <c r="S71" s="6">
        <v>20</v>
      </c>
      <c r="T71" s="7">
        <v>22</v>
      </c>
      <c r="V71" s="5">
        <v>7</v>
      </c>
      <c r="W71" s="6">
        <v>8</v>
      </c>
      <c r="X71" s="6">
        <v>9</v>
      </c>
      <c r="Y71" s="6">
        <v>10</v>
      </c>
      <c r="Z71" s="6">
        <v>11</v>
      </c>
      <c r="AA71" s="6">
        <v>12</v>
      </c>
      <c r="AB71" s="6">
        <v>13</v>
      </c>
      <c r="AC71" s="6">
        <v>14</v>
      </c>
      <c r="AD71" s="6">
        <v>15</v>
      </c>
      <c r="AE71" s="6">
        <v>16</v>
      </c>
      <c r="AF71" s="6">
        <v>17</v>
      </c>
      <c r="AG71" s="6">
        <v>18</v>
      </c>
      <c r="AH71" s="6">
        <v>20</v>
      </c>
      <c r="AI71" s="7">
        <v>22</v>
      </c>
      <c r="AK71" s="5">
        <v>7</v>
      </c>
      <c r="AL71" s="6">
        <v>8</v>
      </c>
      <c r="AM71" s="6">
        <v>9</v>
      </c>
      <c r="AN71" s="6">
        <v>10</v>
      </c>
      <c r="AO71" s="6">
        <v>11</v>
      </c>
      <c r="AP71" s="6">
        <v>12</v>
      </c>
      <c r="AQ71" s="6">
        <v>13</v>
      </c>
      <c r="AR71" s="6">
        <v>14</v>
      </c>
      <c r="AS71" s="6">
        <v>15</v>
      </c>
      <c r="AT71" s="6">
        <v>16</v>
      </c>
    </row>
    <row r="72" spans="3:74" ht="15" customHeight="1" x14ac:dyDescent="0.25">
      <c r="C72" s="313" t="s">
        <v>35</v>
      </c>
      <c r="D72" s="314"/>
      <c r="E72" s="314"/>
      <c r="F72" s="315"/>
      <c r="G72" s="143">
        <f t="shared" ref="G72:T72" si="33">G68*10</f>
        <v>0.99264317599999985</v>
      </c>
      <c r="H72" s="143">
        <f t="shared" si="33"/>
        <v>1.296513536</v>
      </c>
      <c r="I72" s="143">
        <f t="shared" si="33"/>
        <v>1.6408999440000001</v>
      </c>
      <c r="J72" s="143">
        <f t="shared" si="33"/>
        <v>2.0258024000000003</v>
      </c>
      <c r="K72" s="143">
        <f t="shared" si="33"/>
        <v>2.4512209039999995</v>
      </c>
      <c r="L72" s="143">
        <f t="shared" si="33"/>
        <v>2.9171554559999997</v>
      </c>
      <c r="M72" s="143">
        <f t="shared" si="33"/>
        <v>3.4236060560000006</v>
      </c>
      <c r="N72" s="143">
        <f t="shared" si="33"/>
        <v>3.9705727039999994</v>
      </c>
      <c r="O72" s="143">
        <f t="shared" si="33"/>
        <v>4.5580554000000006</v>
      </c>
      <c r="P72" s="143">
        <f t="shared" si="33"/>
        <v>5.1860541439999999</v>
      </c>
      <c r="Q72" s="143">
        <f t="shared" si="33"/>
        <v>5.8545689359999997</v>
      </c>
      <c r="R72" s="143">
        <f t="shared" si="33"/>
        <v>6.5635997760000002</v>
      </c>
      <c r="S72" s="143">
        <f t="shared" si="33"/>
        <v>8.1032096000000013</v>
      </c>
      <c r="T72" s="144">
        <f t="shared" si="33"/>
        <v>9.8048836159999979</v>
      </c>
      <c r="V72" s="147">
        <f t="shared" ref="V72:AI72" si="34">V68*10</f>
        <v>1.4889647639999999</v>
      </c>
      <c r="W72" s="143">
        <f t="shared" si="34"/>
        <v>1.9447703039999997</v>
      </c>
      <c r="X72" s="143">
        <f t="shared" si="34"/>
        <v>2.4613499160000001</v>
      </c>
      <c r="Y72" s="143">
        <f t="shared" si="34"/>
        <v>3.0387035999999998</v>
      </c>
      <c r="Z72" s="143">
        <f t="shared" si="34"/>
        <v>3.6768313559999992</v>
      </c>
      <c r="AA72" s="143">
        <f t="shared" si="34"/>
        <v>4.3757331839999996</v>
      </c>
      <c r="AB72" s="143">
        <f t="shared" si="34"/>
        <v>5.135409084</v>
      </c>
      <c r="AC72" s="143">
        <f t="shared" si="34"/>
        <v>5.9558590559999995</v>
      </c>
      <c r="AD72" s="143">
        <f t="shared" si="34"/>
        <v>6.837083100000001</v>
      </c>
      <c r="AE72" s="143">
        <f t="shared" si="34"/>
        <v>7.7790812159999989</v>
      </c>
      <c r="AF72" s="143">
        <f t="shared" si="34"/>
        <v>8.7818534039999996</v>
      </c>
      <c r="AG72" s="143">
        <f t="shared" si="34"/>
        <v>9.8453996640000003</v>
      </c>
      <c r="AH72" s="143">
        <f t="shared" si="34"/>
        <v>12.154814399999999</v>
      </c>
      <c r="AI72" s="144">
        <f t="shared" si="34"/>
        <v>14.707325423999997</v>
      </c>
      <c r="AK72" s="147">
        <f t="shared" ref="AK72:AT72" si="35">AK68*10</f>
        <v>1.9852863519999997</v>
      </c>
      <c r="AL72" s="143">
        <f t="shared" si="35"/>
        <v>2.5930270719999999</v>
      </c>
      <c r="AM72" s="143">
        <f t="shared" si="35"/>
        <v>3.2817998880000001</v>
      </c>
      <c r="AN72" s="143">
        <f t="shared" si="35"/>
        <v>4.0516048000000007</v>
      </c>
      <c r="AO72" s="143">
        <f t="shared" si="35"/>
        <v>4.902441807999999</v>
      </c>
      <c r="AP72" s="143">
        <f t="shared" si="35"/>
        <v>5.8343109119999994</v>
      </c>
      <c r="AQ72" s="143">
        <f t="shared" si="35"/>
        <v>6.8472121120000011</v>
      </c>
      <c r="AR72" s="143">
        <f t="shared" si="35"/>
        <v>7.9411454079999988</v>
      </c>
      <c r="AS72" s="143">
        <f t="shared" si="35"/>
        <v>9.1161108000000013</v>
      </c>
      <c r="AT72" s="143">
        <f t="shared" si="35"/>
        <v>10.372108288</v>
      </c>
    </row>
    <row r="73" spans="3:74" ht="15" customHeight="1" thickBot="1" x14ac:dyDescent="0.3">
      <c r="C73" s="310" t="s">
        <v>36</v>
      </c>
      <c r="D73" s="311"/>
      <c r="E73" s="311"/>
      <c r="F73" s="312"/>
      <c r="G73" s="145">
        <f t="shared" ref="G73:T73" si="36">G68*13</f>
        <v>1.2904361287999997</v>
      </c>
      <c r="H73" s="145">
        <f t="shared" si="36"/>
        <v>1.6854675967999999</v>
      </c>
      <c r="I73" s="145">
        <f t="shared" si="36"/>
        <v>2.1331699272</v>
      </c>
      <c r="J73" s="145">
        <f t="shared" si="36"/>
        <v>2.6335431200000001</v>
      </c>
      <c r="K73" s="145">
        <f t="shared" si="36"/>
        <v>3.1865871751999997</v>
      </c>
      <c r="L73" s="145">
        <f t="shared" si="36"/>
        <v>3.7923020927999995</v>
      </c>
      <c r="M73" s="145">
        <f t="shared" si="36"/>
        <v>4.4506878728000006</v>
      </c>
      <c r="N73" s="145">
        <f t="shared" si="36"/>
        <v>5.1617445151999988</v>
      </c>
      <c r="O73" s="145">
        <f t="shared" si="36"/>
        <v>5.9254720200000008</v>
      </c>
      <c r="P73" s="145">
        <f t="shared" si="36"/>
        <v>6.7418703871999996</v>
      </c>
      <c r="Q73" s="145">
        <f t="shared" si="36"/>
        <v>7.6109396167999996</v>
      </c>
      <c r="R73" s="145">
        <f t="shared" si="36"/>
        <v>8.5326797087999999</v>
      </c>
      <c r="S73" s="145">
        <f t="shared" si="36"/>
        <v>10.534172480000001</v>
      </c>
      <c r="T73" s="146">
        <f t="shared" si="36"/>
        <v>12.746348700799999</v>
      </c>
      <c r="V73" s="148">
        <f t="shared" ref="V73:AI73" si="37">V68*13</f>
        <v>1.9356541931999998</v>
      </c>
      <c r="W73" s="145">
        <f t="shared" si="37"/>
        <v>2.5282013951999995</v>
      </c>
      <c r="X73" s="145">
        <f t="shared" si="37"/>
        <v>3.1997548908</v>
      </c>
      <c r="Y73" s="145">
        <f t="shared" si="37"/>
        <v>3.95031468</v>
      </c>
      <c r="Z73" s="145">
        <f t="shared" si="37"/>
        <v>4.7798807627999995</v>
      </c>
      <c r="AA73" s="145">
        <f t="shared" si="37"/>
        <v>5.6884531391999991</v>
      </c>
      <c r="AB73" s="145">
        <f t="shared" si="37"/>
        <v>6.6760318091999995</v>
      </c>
      <c r="AC73" s="145">
        <f t="shared" si="37"/>
        <v>7.742616772799999</v>
      </c>
      <c r="AD73" s="145">
        <f t="shared" si="37"/>
        <v>8.8882080300000013</v>
      </c>
      <c r="AE73" s="145">
        <f t="shared" si="37"/>
        <v>10.112805580799998</v>
      </c>
      <c r="AF73" s="145">
        <f t="shared" si="37"/>
        <v>11.416409425199999</v>
      </c>
      <c r="AG73" s="145">
        <f t="shared" si="37"/>
        <v>12.7990195632</v>
      </c>
      <c r="AH73" s="145">
        <f t="shared" si="37"/>
        <v>15.80125872</v>
      </c>
      <c r="AI73" s="146">
        <f t="shared" si="37"/>
        <v>19.119523051199998</v>
      </c>
      <c r="AK73" s="148">
        <f t="shared" ref="AK73:AT73" si="38">AK68*13</f>
        <v>2.5808722575999994</v>
      </c>
      <c r="AL73" s="145">
        <f t="shared" si="38"/>
        <v>3.3709351935999998</v>
      </c>
      <c r="AM73" s="145">
        <f t="shared" si="38"/>
        <v>4.2663398544</v>
      </c>
      <c r="AN73" s="145">
        <f t="shared" si="38"/>
        <v>5.2670862400000003</v>
      </c>
      <c r="AO73" s="145">
        <f t="shared" si="38"/>
        <v>6.3731743503999994</v>
      </c>
      <c r="AP73" s="145">
        <f t="shared" si="38"/>
        <v>7.584604185599999</v>
      </c>
      <c r="AQ73" s="145">
        <f t="shared" si="38"/>
        <v>8.9013757456000011</v>
      </c>
      <c r="AR73" s="145">
        <f t="shared" si="38"/>
        <v>10.323489030399998</v>
      </c>
      <c r="AS73" s="145">
        <f t="shared" si="38"/>
        <v>11.850944040000002</v>
      </c>
      <c r="AT73" s="145">
        <f t="shared" si="38"/>
        <v>13.483740774399999</v>
      </c>
    </row>
    <row r="74" spans="3:74" ht="15" customHeight="1" x14ac:dyDescent="0.25">
      <c r="Z74" s="1"/>
      <c r="AA74" s="1"/>
      <c r="AB74" s="1"/>
      <c r="AC74" s="1"/>
      <c r="AN74" s="1"/>
      <c r="AO74" s="1"/>
      <c r="AP74" s="1"/>
    </row>
    <row r="75" spans="3:74" ht="15" customHeight="1" thickBot="1" x14ac:dyDescent="0.3">
      <c r="C75" s="4"/>
      <c r="D75" s="4"/>
      <c r="G75" s="4"/>
      <c r="H75" s="4"/>
      <c r="I75" s="4"/>
      <c r="J75" s="4"/>
      <c r="K75" s="4"/>
      <c r="L75" s="4"/>
      <c r="M75" s="4"/>
      <c r="N75" s="4"/>
      <c r="O75" s="4"/>
      <c r="P75" s="32"/>
      <c r="Q75" s="32"/>
      <c r="R75" s="32"/>
      <c r="S75" s="32"/>
      <c r="Z75" s="1"/>
      <c r="AA75" s="1"/>
      <c r="AB75" s="1"/>
      <c r="AC75" s="1"/>
      <c r="AF75" s="3"/>
      <c r="AG75" s="3"/>
      <c r="AH75" s="3"/>
      <c r="AN75" s="1"/>
      <c r="AO75" s="1"/>
      <c r="AP75" s="1"/>
    </row>
    <row r="76" spans="3:74" ht="15" customHeight="1" thickBot="1" x14ac:dyDescent="0.3">
      <c r="C76" s="223" t="s">
        <v>15</v>
      </c>
      <c r="D76" s="264"/>
      <c r="E76" s="264"/>
      <c r="F76" s="224"/>
      <c r="G76" s="5">
        <v>7</v>
      </c>
      <c r="H76" s="6">
        <v>8</v>
      </c>
      <c r="I76" s="6">
        <v>9</v>
      </c>
      <c r="J76" s="6">
        <v>10</v>
      </c>
      <c r="K76" s="6">
        <v>11</v>
      </c>
      <c r="L76" s="6">
        <v>12</v>
      </c>
      <c r="M76" s="6">
        <v>13</v>
      </c>
      <c r="N76" s="6">
        <v>14</v>
      </c>
      <c r="O76" s="6">
        <v>15</v>
      </c>
      <c r="P76" s="6">
        <v>16</v>
      </c>
      <c r="Q76" s="6">
        <v>17</v>
      </c>
      <c r="R76" s="6">
        <v>18</v>
      </c>
      <c r="S76" s="6">
        <v>20</v>
      </c>
      <c r="T76" s="7">
        <v>22</v>
      </c>
      <c r="V76" s="5">
        <v>7</v>
      </c>
      <c r="W76" s="6">
        <v>8</v>
      </c>
      <c r="X76" s="6">
        <v>9</v>
      </c>
      <c r="Y76" s="6">
        <v>10</v>
      </c>
      <c r="Z76" s="6">
        <v>11</v>
      </c>
      <c r="AA76" s="6">
        <v>12</v>
      </c>
      <c r="AB76" s="6">
        <v>13</v>
      </c>
      <c r="AC76" s="6">
        <v>14</v>
      </c>
      <c r="AD76" s="6">
        <v>15</v>
      </c>
      <c r="AE76" s="6">
        <v>16</v>
      </c>
      <c r="AF76" s="6">
        <v>17</v>
      </c>
      <c r="AG76" s="6">
        <v>18</v>
      </c>
      <c r="AH76" s="6">
        <v>20</v>
      </c>
      <c r="AI76" s="7">
        <v>22</v>
      </c>
      <c r="AK76" s="5">
        <v>7</v>
      </c>
      <c r="AL76" s="6">
        <v>8</v>
      </c>
      <c r="AM76" s="6">
        <v>9</v>
      </c>
      <c r="AN76" s="6">
        <v>10</v>
      </c>
      <c r="AO76" s="6">
        <v>11</v>
      </c>
      <c r="AP76" s="6">
        <v>12</v>
      </c>
      <c r="AQ76" s="6">
        <v>13</v>
      </c>
      <c r="AR76" s="6">
        <v>14</v>
      </c>
      <c r="AS76" s="6">
        <v>15</v>
      </c>
      <c r="AT76" s="6">
        <v>16</v>
      </c>
    </row>
    <row r="77" spans="3:74" ht="15" customHeight="1" thickBot="1" x14ac:dyDescent="0.3">
      <c r="C77" s="265" t="s">
        <v>16</v>
      </c>
      <c r="D77" s="266"/>
      <c r="E77" s="266"/>
      <c r="F77" s="267"/>
      <c r="G77" s="102" t="s">
        <v>17</v>
      </c>
      <c r="H77" s="103"/>
      <c r="I77" s="103"/>
      <c r="J77" s="103"/>
      <c r="K77" s="103"/>
      <c r="L77" s="103"/>
      <c r="M77" s="103"/>
      <c r="N77" s="103"/>
      <c r="O77" s="103"/>
      <c r="P77" s="103"/>
      <c r="Q77" s="103"/>
      <c r="R77" s="103"/>
      <c r="S77" s="103"/>
      <c r="V77" s="103" t="s">
        <v>18</v>
      </c>
      <c r="W77" s="103"/>
      <c r="X77" s="103"/>
      <c r="Y77" s="103"/>
      <c r="Z77" s="103"/>
      <c r="AA77" s="103"/>
      <c r="AB77" s="103"/>
      <c r="AC77" s="103"/>
      <c r="AD77" s="103"/>
      <c r="AE77" s="103"/>
      <c r="AF77" s="103"/>
      <c r="AG77" s="103"/>
      <c r="AH77" s="103"/>
      <c r="AK77" s="103" t="s">
        <v>18</v>
      </c>
      <c r="AL77" s="103"/>
      <c r="AM77" s="103"/>
      <c r="AN77" s="103"/>
      <c r="AO77" s="103"/>
      <c r="AP77" s="103"/>
      <c r="AQ77" s="103"/>
      <c r="AR77" s="103"/>
      <c r="AS77" s="103"/>
      <c r="AT77" s="103"/>
    </row>
    <row r="78" spans="3:74" ht="15" customHeight="1" x14ac:dyDescent="0.25">
      <c r="C78" s="268" t="s">
        <v>66</v>
      </c>
      <c r="D78" s="269"/>
      <c r="E78" s="270"/>
      <c r="F78" s="37">
        <v>1</v>
      </c>
      <c r="G78" s="33">
        <f t="shared" ref="G78:T80" si="39">$F78/G$68</f>
        <v>10.074113479827117</v>
      </c>
      <c r="H78" s="34">
        <f t="shared" si="39"/>
        <v>7.7129931329926356</v>
      </c>
      <c r="I78" s="34">
        <f t="shared" si="39"/>
        <v>6.0942167964386256</v>
      </c>
      <c r="J78" s="34">
        <f t="shared" si="39"/>
        <v>4.9363156051152863</v>
      </c>
      <c r="K78" s="34">
        <f t="shared" si="39"/>
        <v>4.0795996736489979</v>
      </c>
      <c r="L78" s="34">
        <f t="shared" si="39"/>
        <v>3.4279969479967272</v>
      </c>
      <c r="M78" s="34">
        <f t="shared" si="39"/>
        <v>2.9208968077605242</v>
      </c>
      <c r="N78" s="34">
        <f t="shared" si="39"/>
        <v>2.5185283699567793</v>
      </c>
      <c r="O78" s="34">
        <f t="shared" si="39"/>
        <v>2.1939180467179047</v>
      </c>
      <c r="P78" s="34">
        <f t="shared" si="39"/>
        <v>1.9282482832481589</v>
      </c>
      <c r="Q78" s="34">
        <f t="shared" si="39"/>
        <v>1.7080676834308952</v>
      </c>
      <c r="R78" s="34">
        <f t="shared" si="39"/>
        <v>1.5235541991096564</v>
      </c>
      <c r="S78" s="34">
        <f t="shared" si="39"/>
        <v>1.2340789012788216</v>
      </c>
      <c r="T78" s="35">
        <f t="shared" si="39"/>
        <v>1.0198999184122495</v>
      </c>
      <c r="V78" s="36">
        <f t="shared" ref="V78:AI82" si="40">$F78/V$68</f>
        <v>6.7160756532180779</v>
      </c>
      <c r="W78" s="34">
        <f t="shared" si="40"/>
        <v>5.141995421995091</v>
      </c>
      <c r="X78" s="34">
        <f t="shared" si="40"/>
        <v>4.0628111976257504</v>
      </c>
      <c r="Y78" s="34">
        <f t="shared" si="40"/>
        <v>3.2908770700768577</v>
      </c>
      <c r="Z78" s="34">
        <f t="shared" si="40"/>
        <v>2.7197331157659987</v>
      </c>
      <c r="AA78" s="34">
        <f t="shared" si="40"/>
        <v>2.2853312986644849</v>
      </c>
      <c r="AB78" s="34">
        <f t="shared" si="40"/>
        <v>1.9472645385070164</v>
      </c>
      <c r="AC78" s="34">
        <f t="shared" si="40"/>
        <v>1.6790189133045195</v>
      </c>
      <c r="AD78" s="34">
        <f t="shared" si="40"/>
        <v>1.4626120311452699</v>
      </c>
      <c r="AE78" s="34">
        <f t="shared" si="40"/>
        <v>1.2854988554987727</v>
      </c>
      <c r="AF78" s="34">
        <f t="shared" si="40"/>
        <v>1.13871178895393</v>
      </c>
      <c r="AG78" s="34">
        <f t="shared" si="40"/>
        <v>1.0157027994064376</v>
      </c>
      <c r="AH78" s="34">
        <f t="shared" si="40"/>
        <v>0.82271926751921443</v>
      </c>
      <c r="AI78" s="35">
        <f t="shared" si="40"/>
        <v>0.67993327894149969</v>
      </c>
      <c r="AK78" s="36">
        <f t="shared" ref="AK78:AT79" si="41">$F78/AK$68</f>
        <v>5.0370567399135586</v>
      </c>
      <c r="AL78" s="34">
        <f t="shared" si="41"/>
        <v>3.8564965664963178</v>
      </c>
      <c r="AM78" s="34">
        <f t="shared" si="41"/>
        <v>3.0471083982193128</v>
      </c>
      <c r="AN78" s="34">
        <f t="shared" si="41"/>
        <v>2.4681578025576432</v>
      </c>
      <c r="AO78" s="34">
        <f t="shared" si="41"/>
        <v>2.0397998368244989</v>
      </c>
      <c r="AP78" s="34">
        <f t="shared" si="41"/>
        <v>1.7139984739983636</v>
      </c>
      <c r="AQ78" s="34">
        <f t="shared" si="41"/>
        <v>1.4604484038802621</v>
      </c>
      <c r="AR78" s="34">
        <f t="shared" si="41"/>
        <v>1.2592641849783897</v>
      </c>
      <c r="AS78" s="34">
        <f t="shared" si="41"/>
        <v>1.0969590233589523</v>
      </c>
      <c r="AT78" s="35">
        <f t="shared" si="41"/>
        <v>0.96412414162407944</v>
      </c>
    </row>
    <row r="79" spans="3:74" ht="15" customHeight="1" x14ac:dyDescent="0.25">
      <c r="C79" s="271"/>
      <c r="D79" s="272"/>
      <c r="E79" s="273"/>
      <c r="F79" s="37">
        <v>1.5</v>
      </c>
      <c r="G79" s="38">
        <f t="shared" si="39"/>
        <v>15.111170219740675</v>
      </c>
      <c r="H79" s="39">
        <f t="shared" si="39"/>
        <v>11.569489699488955</v>
      </c>
      <c r="I79" s="40">
        <f t="shared" si="39"/>
        <v>9.1413251946579379</v>
      </c>
      <c r="J79" s="40">
        <f t="shared" si="39"/>
        <v>7.4044734076729295</v>
      </c>
      <c r="K79" s="40">
        <f t="shared" si="39"/>
        <v>6.1193995104734968</v>
      </c>
      <c r="L79" s="40">
        <f t="shared" si="39"/>
        <v>5.141995421995091</v>
      </c>
      <c r="M79" s="40">
        <f t="shared" si="39"/>
        <v>4.3813452116407863</v>
      </c>
      <c r="N79" s="40">
        <f t="shared" si="39"/>
        <v>3.7777925549351687</v>
      </c>
      <c r="O79" s="40">
        <f t="shared" si="39"/>
        <v>3.2908770700768573</v>
      </c>
      <c r="P79" s="40">
        <f t="shared" si="39"/>
        <v>2.8923724248722387</v>
      </c>
      <c r="Q79" s="40">
        <f t="shared" si="39"/>
        <v>2.5621015251463426</v>
      </c>
      <c r="R79" s="40">
        <f t="shared" si="39"/>
        <v>2.2853312986644845</v>
      </c>
      <c r="S79" s="40">
        <f t="shared" si="39"/>
        <v>1.8511183519182324</v>
      </c>
      <c r="T79" s="41">
        <f t="shared" si="39"/>
        <v>1.5298498776183742</v>
      </c>
      <c r="V79" s="42">
        <f t="shared" si="40"/>
        <v>10.074113479827117</v>
      </c>
      <c r="W79" s="40">
        <f t="shared" si="40"/>
        <v>7.7129931329926364</v>
      </c>
      <c r="X79" s="40">
        <f t="shared" si="40"/>
        <v>6.0942167964386256</v>
      </c>
      <c r="Y79" s="40">
        <f t="shared" si="40"/>
        <v>4.9363156051152863</v>
      </c>
      <c r="Z79" s="40">
        <f t="shared" si="40"/>
        <v>4.0795996736489979</v>
      </c>
      <c r="AA79" s="40">
        <f t="shared" si="40"/>
        <v>3.4279969479967276</v>
      </c>
      <c r="AB79" s="40">
        <f t="shared" si="40"/>
        <v>2.9208968077605246</v>
      </c>
      <c r="AC79" s="40">
        <f t="shared" si="40"/>
        <v>2.5185283699567793</v>
      </c>
      <c r="AD79" s="40">
        <f t="shared" si="40"/>
        <v>2.1939180467179047</v>
      </c>
      <c r="AE79" s="40">
        <f t="shared" si="40"/>
        <v>1.9282482832481591</v>
      </c>
      <c r="AF79" s="40">
        <f t="shared" si="40"/>
        <v>1.7080676834308952</v>
      </c>
      <c r="AG79" s="40">
        <f t="shared" si="40"/>
        <v>1.5235541991096564</v>
      </c>
      <c r="AH79" s="40">
        <f t="shared" si="40"/>
        <v>1.2340789012788216</v>
      </c>
      <c r="AI79" s="41">
        <f t="shared" si="40"/>
        <v>1.0198999184122495</v>
      </c>
      <c r="AK79" s="150">
        <f t="shared" si="41"/>
        <v>7.5555851098703375</v>
      </c>
      <c r="AL79" s="40">
        <f t="shared" si="41"/>
        <v>5.7847448497444773</v>
      </c>
      <c r="AM79" s="40">
        <f t="shared" si="41"/>
        <v>4.570662597328969</v>
      </c>
      <c r="AN79" s="40">
        <f t="shared" si="41"/>
        <v>3.7022367038364647</v>
      </c>
      <c r="AO79" s="40">
        <f t="shared" si="41"/>
        <v>3.0596997552367484</v>
      </c>
      <c r="AP79" s="40">
        <f t="shared" si="41"/>
        <v>2.5709977109975455</v>
      </c>
      <c r="AQ79" s="40">
        <f t="shared" si="41"/>
        <v>2.1906726058203931</v>
      </c>
      <c r="AR79" s="40">
        <f t="shared" si="41"/>
        <v>1.8888962774675844</v>
      </c>
      <c r="AS79" s="40">
        <f t="shared" si="41"/>
        <v>1.6454385350384286</v>
      </c>
      <c r="AT79" s="41">
        <f t="shared" si="41"/>
        <v>1.4461862124361193</v>
      </c>
    </row>
    <row r="80" spans="3:74" s="3" customFormat="1" ht="15" customHeight="1" x14ac:dyDescent="0.25">
      <c r="C80" s="271"/>
      <c r="D80" s="272"/>
      <c r="E80" s="273"/>
      <c r="F80" s="37">
        <v>2</v>
      </c>
      <c r="G80" s="43">
        <f t="shared" si="39"/>
        <v>20.148226959654234</v>
      </c>
      <c r="H80" s="44">
        <f t="shared" si="39"/>
        <v>15.425986265985271</v>
      </c>
      <c r="I80" s="39">
        <f t="shared" si="39"/>
        <v>12.188433592877251</v>
      </c>
      <c r="J80" s="40">
        <f t="shared" si="39"/>
        <v>9.8726312102305727</v>
      </c>
      <c r="K80" s="40">
        <f t="shared" si="39"/>
        <v>8.1591993472979958</v>
      </c>
      <c r="L80" s="40">
        <f t="shared" si="39"/>
        <v>6.8559938959934543</v>
      </c>
      <c r="M80" s="40">
        <f t="shared" si="39"/>
        <v>5.8417936155210484</v>
      </c>
      <c r="N80" s="40">
        <f t="shared" si="39"/>
        <v>5.0370567399135586</v>
      </c>
      <c r="O80" s="40">
        <f t="shared" si="39"/>
        <v>4.3878360934358094</v>
      </c>
      <c r="P80" s="40">
        <f t="shared" si="39"/>
        <v>3.8564965664963178</v>
      </c>
      <c r="Q80" s="40">
        <f t="shared" si="39"/>
        <v>3.4161353668617904</v>
      </c>
      <c r="R80" s="40">
        <f t="shared" si="39"/>
        <v>3.0471083982193128</v>
      </c>
      <c r="S80" s="40">
        <f t="shared" si="39"/>
        <v>2.4681578025576432</v>
      </c>
      <c r="T80" s="41">
        <f t="shared" si="39"/>
        <v>2.0397998368244989</v>
      </c>
      <c r="V80" s="38">
        <f t="shared" si="40"/>
        <v>13.432151306436156</v>
      </c>
      <c r="W80" s="39">
        <f t="shared" si="40"/>
        <v>10.283990843990182</v>
      </c>
      <c r="X80" s="40">
        <f t="shared" si="40"/>
        <v>8.1256223952515008</v>
      </c>
      <c r="Y80" s="40">
        <f t="shared" si="40"/>
        <v>6.5817541401537154</v>
      </c>
      <c r="Z80" s="40">
        <f t="shared" si="40"/>
        <v>5.4394662315319975</v>
      </c>
      <c r="AA80" s="40">
        <f t="shared" si="40"/>
        <v>4.5706625973289698</v>
      </c>
      <c r="AB80" s="40">
        <f t="shared" si="40"/>
        <v>3.8945290770140328</v>
      </c>
      <c r="AC80" s="40">
        <f t="shared" si="40"/>
        <v>3.3580378266090389</v>
      </c>
      <c r="AD80" s="40">
        <f t="shared" si="40"/>
        <v>2.9252240622905399</v>
      </c>
      <c r="AE80" s="40">
        <f t="shared" si="40"/>
        <v>2.5709977109975455</v>
      </c>
      <c r="AF80" s="40">
        <f t="shared" si="40"/>
        <v>2.27742357790786</v>
      </c>
      <c r="AG80" s="40">
        <f t="shared" si="40"/>
        <v>2.0314055988128752</v>
      </c>
      <c r="AH80" s="40">
        <f t="shared" si="40"/>
        <v>1.6454385350384289</v>
      </c>
      <c r="AI80" s="41">
        <f t="shared" si="40"/>
        <v>1.3598665578829994</v>
      </c>
      <c r="AK80" s="150">
        <f t="shared" ref="AK80:AL82" si="42">$F80/AK$68</f>
        <v>10.074113479827117</v>
      </c>
      <c r="AL80" s="40">
        <f t="shared" si="42"/>
        <v>7.7129931329926356</v>
      </c>
      <c r="AM80" s="40">
        <f t="shared" ref="AM80:AT80" si="43">$F80/AM$68</f>
        <v>6.0942167964386256</v>
      </c>
      <c r="AN80" s="40">
        <f t="shared" si="43"/>
        <v>4.9363156051152863</v>
      </c>
      <c r="AO80" s="40">
        <f t="shared" si="43"/>
        <v>4.0795996736489979</v>
      </c>
      <c r="AP80" s="40">
        <f t="shared" si="43"/>
        <v>3.4279969479967272</v>
      </c>
      <c r="AQ80" s="40">
        <f t="shared" si="43"/>
        <v>2.9208968077605242</v>
      </c>
      <c r="AR80" s="40">
        <f t="shared" si="43"/>
        <v>2.5185283699567793</v>
      </c>
      <c r="AS80" s="40">
        <f t="shared" si="43"/>
        <v>2.1939180467179047</v>
      </c>
      <c r="AT80" s="41">
        <f t="shared" si="43"/>
        <v>1.9282482832481589</v>
      </c>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row>
    <row r="81" spans="3:74" s="3" customFormat="1" ht="15" customHeight="1" x14ac:dyDescent="0.25">
      <c r="C81" s="271"/>
      <c r="D81" s="272"/>
      <c r="E81" s="273"/>
      <c r="F81" s="37">
        <v>2.5</v>
      </c>
      <c r="G81" s="43"/>
      <c r="H81" s="45">
        <f t="shared" ref="H81:T81" si="44">$F81/H$68</f>
        <v>19.282482832481591</v>
      </c>
      <c r="I81" s="44">
        <f t="shared" si="44"/>
        <v>15.235541991096564</v>
      </c>
      <c r="J81" s="39">
        <f t="shared" si="44"/>
        <v>12.340789012788216</v>
      </c>
      <c r="K81" s="39">
        <f t="shared" si="44"/>
        <v>10.198999184122494</v>
      </c>
      <c r="L81" s="40">
        <f t="shared" si="44"/>
        <v>8.5699923699918177</v>
      </c>
      <c r="M81" s="40">
        <f t="shared" si="44"/>
        <v>7.3022420194013113</v>
      </c>
      <c r="N81" s="40">
        <f t="shared" si="44"/>
        <v>6.2963209248919485</v>
      </c>
      <c r="O81" s="40">
        <f t="shared" si="44"/>
        <v>5.4847951167947624</v>
      </c>
      <c r="P81" s="40">
        <f t="shared" si="44"/>
        <v>4.8206207081203978</v>
      </c>
      <c r="Q81" s="40">
        <f t="shared" si="44"/>
        <v>4.2701692085772374</v>
      </c>
      <c r="R81" s="40">
        <f t="shared" si="44"/>
        <v>3.8088854977741411</v>
      </c>
      <c r="S81" s="40">
        <f t="shared" si="44"/>
        <v>3.085197253197054</v>
      </c>
      <c r="T81" s="41">
        <f t="shared" si="44"/>
        <v>2.5497497960306235</v>
      </c>
      <c r="V81" s="43">
        <f t="shared" si="40"/>
        <v>16.790189133045196</v>
      </c>
      <c r="W81" s="39">
        <f t="shared" si="40"/>
        <v>12.854988554987727</v>
      </c>
      <c r="X81" s="39">
        <f t="shared" si="40"/>
        <v>10.157027994064377</v>
      </c>
      <c r="Y81" s="40">
        <f t="shared" si="40"/>
        <v>8.2271926751921445</v>
      </c>
      <c r="Z81" s="40">
        <f t="shared" si="40"/>
        <v>6.7993327894149971</v>
      </c>
      <c r="AA81" s="40">
        <f t="shared" si="40"/>
        <v>5.713328246661213</v>
      </c>
      <c r="AB81" s="40">
        <f t="shared" si="40"/>
        <v>4.8681613462675415</v>
      </c>
      <c r="AC81" s="40">
        <f t="shared" si="40"/>
        <v>4.197547283261299</v>
      </c>
      <c r="AD81" s="40">
        <f t="shared" si="40"/>
        <v>3.6565300778631746</v>
      </c>
      <c r="AE81" s="40">
        <f t="shared" si="40"/>
        <v>3.2137471387469319</v>
      </c>
      <c r="AF81" s="40">
        <f t="shared" si="40"/>
        <v>2.8467794723848252</v>
      </c>
      <c r="AG81" s="40">
        <f t="shared" si="40"/>
        <v>2.5392569985160942</v>
      </c>
      <c r="AH81" s="40">
        <f t="shared" si="40"/>
        <v>2.0567981687980361</v>
      </c>
      <c r="AI81" s="41">
        <f t="shared" si="40"/>
        <v>1.6998331973537493</v>
      </c>
      <c r="AK81" s="42">
        <f t="shared" si="42"/>
        <v>12.592641849783897</v>
      </c>
      <c r="AL81" s="40">
        <f t="shared" si="42"/>
        <v>9.6412414162407956</v>
      </c>
      <c r="AM81" s="40">
        <f t="shared" ref="AM81:AM86" si="45">$F81/AM$68</f>
        <v>7.6177709955482822</v>
      </c>
      <c r="AN81" s="40">
        <f t="shared" ref="AN81:AT82" si="46">$F81/AN$68</f>
        <v>6.1703945063941079</v>
      </c>
      <c r="AO81" s="40">
        <f t="shared" si="46"/>
        <v>5.0994995920612469</v>
      </c>
      <c r="AP81" s="40">
        <f t="shared" si="46"/>
        <v>4.2849961849959088</v>
      </c>
      <c r="AQ81" s="40">
        <f t="shared" si="46"/>
        <v>3.6511210097006557</v>
      </c>
      <c r="AR81" s="40">
        <f t="shared" si="46"/>
        <v>3.1481604624459743</v>
      </c>
      <c r="AS81" s="40">
        <f t="shared" si="46"/>
        <v>2.7423975583973812</v>
      </c>
      <c r="AT81" s="41">
        <f t="shared" si="46"/>
        <v>2.4103103540601989</v>
      </c>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row>
    <row r="82" spans="3:74" s="3" customFormat="1" ht="15" customHeight="1" x14ac:dyDescent="0.25">
      <c r="C82" s="271"/>
      <c r="D82" s="272"/>
      <c r="E82" s="273"/>
      <c r="F82" s="37">
        <v>3</v>
      </c>
      <c r="G82" s="43"/>
      <c r="H82" s="45"/>
      <c r="I82" s="45">
        <f t="shared" ref="I82:T83" si="47">$F82/I$68</f>
        <v>18.282650389315876</v>
      </c>
      <c r="J82" s="44">
        <f t="shared" si="47"/>
        <v>14.808946815345859</v>
      </c>
      <c r="K82" s="39">
        <f t="shared" si="47"/>
        <v>12.238799020946994</v>
      </c>
      <c r="L82" s="39">
        <f t="shared" si="47"/>
        <v>10.283990843990182</v>
      </c>
      <c r="M82" s="40">
        <f t="shared" si="47"/>
        <v>8.7626904232815725</v>
      </c>
      <c r="N82" s="40">
        <f t="shared" si="47"/>
        <v>7.5555851098703375</v>
      </c>
      <c r="O82" s="40">
        <f t="shared" si="47"/>
        <v>6.5817541401537145</v>
      </c>
      <c r="P82" s="40">
        <f t="shared" si="47"/>
        <v>5.7847448497444773</v>
      </c>
      <c r="Q82" s="40">
        <f t="shared" si="47"/>
        <v>5.1242030502926852</v>
      </c>
      <c r="R82" s="40">
        <f t="shared" si="47"/>
        <v>4.570662597328969</v>
      </c>
      <c r="S82" s="40">
        <f t="shared" si="47"/>
        <v>3.7022367038364647</v>
      </c>
      <c r="T82" s="41">
        <f t="shared" si="47"/>
        <v>3.0596997552367484</v>
      </c>
      <c r="V82" s="43">
        <f t="shared" si="40"/>
        <v>20.148226959654234</v>
      </c>
      <c r="W82" s="44">
        <f t="shared" si="40"/>
        <v>15.425986265985273</v>
      </c>
      <c r="X82" s="39">
        <f t="shared" si="40"/>
        <v>12.188433592877251</v>
      </c>
      <c r="Y82" s="40">
        <f t="shared" si="40"/>
        <v>9.8726312102305727</v>
      </c>
      <c r="Z82" s="40">
        <f t="shared" si="40"/>
        <v>8.1591993472979958</v>
      </c>
      <c r="AA82" s="40">
        <f t="shared" si="40"/>
        <v>6.8559938959934552</v>
      </c>
      <c r="AB82" s="40">
        <f t="shared" si="40"/>
        <v>5.8417936155210493</v>
      </c>
      <c r="AC82" s="40">
        <f t="shared" si="40"/>
        <v>5.0370567399135586</v>
      </c>
      <c r="AD82" s="40">
        <f t="shared" si="40"/>
        <v>4.3878360934358094</v>
      </c>
      <c r="AE82" s="40">
        <f t="shared" si="40"/>
        <v>3.8564965664963182</v>
      </c>
      <c r="AF82" s="40">
        <f t="shared" si="40"/>
        <v>3.4161353668617904</v>
      </c>
      <c r="AG82" s="40">
        <f t="shared" si="40"/>
        <v>3.0471083982193128</v>
      </c>
      <c r="AH82" s="40">
        <f t="shared" si="40"/>
        <v>2.4681578025576432</v>
      </c>
      <c r="AI82" s="41">
        <f t="shared" si="40"/>
        <v>2.0397998368244989</v>
      </c>
      <c r="AK82" s="43">
        <f t="shared" si="42"/>
        <v>15.111170219740675</v>
      </c>
      <c r="AL82" s="39">
        <f t="shared" si="42"/>
        <v>11.569489699488955</v>
      </c>
      <c r="AM82" s="40">
        <f t="shared" si="45"/>
        <v>9.1413251946579379</v>
      </c>
      <c r="AN82" s="40">
        <f t="shared" si="46"/>
        <v>7.4044734076729295</v>
      </c>
      <c r="AO82" s="40">
        <f t="shared" si="46"/>
        <v>6.1193995104734968</v>
      </c>
      <c r="AP82" s="40">
        <f t="shared" si="46"/>
        <v>5.141995421995091</v>
      </c>
      <c r="AQ82" s="40">
        <f t="shared" si="46"/>
        <v>4.3813452116407863</v>
      </c>
      <c r="AR82" s="40">
        <f t="shared" si="46"/>
        <v>3.7777925549351687</v>
      </c>
      <c r="AS82" s="40">
        <f t="shared" si="46"/>
        <v>3.2908770700768573</v>
      </c>
      <c r="AT82" s="41">
        <f t="shared" si="46"/>
        <v>2.8923724248722387</v>
      </c>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row>
    <row r="83" spans="3:74" s="3" customFormat="1" ht="15" customHeight="1" x14ac:dyDescent="0.25">
      <c r="C83" s="271"/>
      <c r="D83" s="272"/>
      <c r="E83" s="273"/>
      <c r="F83" s="37">
        <v>3.5</v>
      </c>
      <c r="G83" s="43"/>
      <c r="H83" s="45"/>
      <c r="I83" s="45">
        <f t="shared" si="47"/>
        <v>21.329758787535191</v>
      </c>
      <c r="J83" s="45">
        <f t="shared" si="47"/>
        <v>17.2771046179035</v>
      </c>
      <c r="K83" s="44">
        <f t="shared" si="47"/>
        <v>14.278598857771492</v>
      </c>
      <c r="L83" s="39">
        <f t="shared" si="47"/>
        <v>11.997989317988546</v>
      </c>
      <c r="M83" s="39">
        <f t="shared" si="47"/>
        <v>10.223138827161835</v>
      </c>
      <c r="N83" s="40">
        <f t="shared" si="47"/>
        <v>8.8148492948487274</v>
      </c>
      <c r="O83" s="40">
        <f t="shared" si="47"/>
        <v>7.6787131635126666</v>
      </c>
      <c r="P83" s="40">
        <f t="shared" si="47"/>
        <v>6.7488689913685569</v>
      </c>
      <c r="Q83" s="40">
        <f t="shared" si="47"/>
        <v>5.978236892008133</v>
      </c>
      <c r="R83" s="40">
        <f t="shared" si="47"/>
        <v>5.3324396968837977</v>
      </c>
      <c r="S83" s="40">
        <f t="shared" si="47"/>
        <v>4.3192761544758751</v>
      </c>
      <c r="T83" s="41">
        <f t="shared" si="47"/>
        <v>3.5696497144428729</v>
      </c>
      <c r="V83" s="43"/>
      <c r="W83" s="45">
        <f t="shared" ref="W83:AI84" si="48">$F83/W$68</f>
        <v>17.996983976982818</v>
      </c>
      <c r="X83" s="44">
        <f t="shared" si="48"/>
        <v>14.219839191690127</v>
      </c>
      <c r="Y83" s="39">
        <f t="shared" si="48"/>
        <v>11.518069745269003</v>
      </c>
      <c r="Z83" s="40">
        <f t="shared" si="48"/>
        <v>9.5190659051809945</v>
      </c>
      <c r="AA83" s="40">
        <f t="shared" si="48"/>
        <v>7.9986595453256975</v>
      </c>
      <c r="AB83" s="40">
        <f t="shared" si="48"/>
        <v>6.8154258847745579</v>
      </c>
      <c r="AC83" s="40">
        <f t="shared" si="48"/>
        <v>5.8765661965658182</v>
      </c>
      <c r="AD83" s="40">
        <f t="shared" si="48"/>
        <v>5.119142109008445</v>
      </c>
      <c r="AE83" s="40">
        <f t="shared" si="48"/>
        <v>4.4992459942457046</v>
      </c>
      <c r="AF83" s="40">
        <f t="shared" si="48"/>
        <v>3.9854912613387552</v>
      </c>
      <c r="AG83" s="40">
        <f t="shared" si="48"/>
        <v>3.5549597979225318</v>
      </c>
      <c r="AH83" s="40">
        <f t="shared" si="48"/>
        <v>2.8795174363172507</v>
      </c>
      <c r="AI83" s="41">
        <f t="shared" si="48"/>
        <v>2.3797664762952486</v>
      </c>
      <c r="AK83" s="43"/>
      <c r="AL83" s="44">
        <f>$F83/AL$68</f>
        <v>13.497737982737114</v>
      </c>
      <c r="AM83" s="39">
        <f t="shared" si="45"/>
        <v>10.664879393767595</v>
      </c>
      <c r="AN83" s="40">
        <f t="shared" ref="AN83:AN89" si="49">$F83/AN$68</f>
        <v>8.6385523089517502</v>
      </c>
      <c r="AO83" s="40">
        <f t="shared" ref="AO83:AT83" si="50">$F83/AO$68</f>
        <v>7.1392994288857459</v>
      </c>
      <c r="AP83" s="40">
        <f t="shared" si="50"/>
        <v>5.9989946589942731</v>
      </c>
      <c r="AQ83" s="40">
        <f t="shared" si="50"/>
        <v>5.1115694135809173</v>
      </c>
      <c r="AR83" s="40">
        <f t="shared" si="50"/>
        <v>4.4074246474243637</v>
      </c>
      <c r="AS83" s="40">
        <f t="shared" si="50"/>
        <v>3.8393565817563333</v>
      </c>
      <c r="AT83" s="41">
        <f t="shared" si="50"/>
        <v>3.3744344956842784</v>
      </c>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row>
    <row r="84" spans="3:74" s="3" customFormat="1" ht="15" customHeight="1" x14ac:dyDescent="0.25">
      <c r="C84" s="271"/>
      <c r="D84" s="272"/>
      <c r="E84" s="273"/>
      <c r="F84" s="37">
        <v>4</v>
      </c>
      <c r="G84" s="43"/>
      <c r="H84" s="45"/>
      <c r="I84" s="45"/>
      <c r="J84" s="45">
        <f t="shared" ref="J84:T85" si="51">$F84/J$68</f>
        <v>19.745262420461145</v>
      </c>
      <c r="K84" s="45">
        <f t="shared" si="51"/>
        <v>16.318398694595992</v>
      </c>
      <c r="L84" s="44">
        <f t="shared" si="51"/>
        <v>13.711987791986909</v>
      </c>
      <c r="M84" s="39">
        <f t="shared" si="51"/>
        <v>11.683587231042097</v>
      </c>
      <c r="N84" s="39">
        <f t="shared" si="51"/>
        <v>10.074113479827117</v>
      </c>
      <c r="O84" s="40">
        <f t="shared" si="51"/>
        <v>8.7756721868716188</v>
      </c>
      <c r="P84" s="40">
        <f t="shared" si="51"/>
        <v>7.7129931329926356</v>
      </c>
      <c r="Q84" s="40">
        <f t="shared" si="51"/>
        <v>6.8322707337235808</v>
      </c>
      <c r="R84" s="40">
        <f t="shared" si="51"/>
        <v>6.0942167964386256</v>
      </c>
      <c r="S84" s="40">
        <f t="shared" si="51"/>
        <v>4.9363156051152863</v>
      </c>
      <c r="T84" s="41">
        <f t="shared" si="51"/>
        <v>4.0795996736489979</v>
      </c>
      <c r="V84" s="43"/>
      <c r="W84" s="45">
        <f t="shared" si="48"/>
        <v>20.567981687980364</v>
      </c>
      <c r="X84" s="45">
        <f t="shared" si="48"/>
        <v>16.251244790503002</v>
      </c>
      <c r="Y84" s="44">
        <f t="shared" si="48"/>
        <v>13.163508280307431</v>
      </c>
      <c r="Z84" s="39">
        <f t="shared" si="48"/>
        <v>10.878932463063995</v>
      </c>
      <c r="AA84" s="40">
        <f t="shared" si="48"/>
        <v>9.1413251946579397</v>
      </c>
      <c r="AB84" s="40">
        <f t="shared" si="48"/>
        <v>7.7890581540280657</v>
      </c>
      <c r="AC84" s="40">
        <f t="shared" si="48"/>
        <v>6.7160756532180779</v>
      </c>
      <c r="AD84" s="40">
        <f t="shared" si="48"/>
        <v>5.8504481245810798</v>
      </c>
      <c r="AE84" s="40">
        <f t="shared" si="48"/>
        <v>5.141995421995091</v>
      </c>
      <c r="AF84" s="40">
        <f t="shared" si="48"/>
        <v>4.55484715581572</v>
      </c>
      <c r="AG84" s="40">
        <f t="shared" si="48"/>
        <v>4.0628111976257504</v>
      </c>
      <c r="AH84" s="40">
        <f t="shared" si="48"/>
        <v>3.2908770700768577</v>
      </c>
      <c r="AI84" s="41">
        <f t="shared" si="48"/>
        <v>2.7197331157659987</v>
      </c>
      <c r="AK84" s="43"/>
      <c r="AL84" s="45">
        <f>$F84/AL$68</f>
        <v>15.425986265985271</v>
      </c>
      <c r="AM84" s="39">
        <f t="shared" si="45"/>
        <v>12.188433592877251</v>
      </c>
      <c r="AN84" s="40">
        <f t="shared" si="49"/>
        <v>9.8726312102305727</v>
      </c>
      <c r="AO84" s="40">
        <f t="shared" ref="AO84:AT84" si="52">$F84/AO$68</f>
        <v>8.1591993472979958</v>
      </c>
      <c r="AP84" s="40">
        <f t="shared" si="52"/>
        <v>6.8559938959934543</v>
      </c>
      <c r="AQ84" s="40">
        <f t="shared" si="52"/>
        <v>5.8417936155210484</v>
      </c>
      <c r="AR84" s="40">
        <f t="shared" si="52"/>
        <v>5.0370567399135586</v>
      </c>
      <c r="AS84" s="40">
        <f t="shared" si="52"/>
        <v>4.3878360934358094</v>
      </c>
      <c r="AT84" s="41">
        <f t="shared" si="52"/>
        <v>3.8564965664963178</v>
      </c>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row>
    <row r="85" spans="3:74" s="3" customFormat="1" ht="15" customHeight="1" x14ac:dyDescent="0.25">
      <c r="C85" s="271"/>
      <c r="D85" s="272"/>
      <c r="E85" s="273"/>
      <c r="F85" s="37">
        <v>4.5</v>
      </c>
      <c r="G85" s="43"/>
      <c r="H85" s="45"/>
      <c r="I85" s="45"/>
      <c r="J85" s="45">
        <f t="shared" si="51"/>
        <v>22.213420223018787</v>
      </c>
      <c r="K85" s="45">
        <f t="shared" si="51"/>
        <v>18.358198531420491</v>
      </c>
      <c r="L85" s="45">
        <f t="shared" si="51"/>
        <v>15.425986265985273</v>
      </c>
      <c r="M85" s="44">
        <f t="shared" si="51"/>
        <v>13.144035634922359</v>
      </c>
      <c r="N85" s="39">
        <f t="shared" si="51"/>
        <v>11.333377664805507</v>
      </c>
      <c r="O85" s="40">
        <f t="shared" si="51"/>
        <v>9.8726312102305727</v>
      </c>
      <c r="P85" s="40">
        <f t="shared" si="51"/>
        <v>8.677117274616716</v>
      </c>
      <c r="Q85" s="40">
        <f t="shared" si="51"/>
        <v>7.6863045754390278</v>
      </c>
      <c r="R85" s="40">
        <f t="shared" si="51"/>
        <v>6.8559938959934543</v>
      </c>
      <c r="S85" s="40">
        <f t="shared" si="51"/>
        <v>5.5533550557546967</v>
      </c>
      <c r="T85" s="41">
        <f t="shared" si="51"/>
        <v>4.5895496328551229</v>
      </c>
      <c r="V85" s="43"/>
      <c r="W85" s="45"/>
      <c r="X85" s="45">
        <f t="shared" ref="X85:AI86" si="53">$F85/X$68</f>
        <v>18.282650389315876</v>
      </c>
      <c r="Y85" s="45">
        <f t="shared" si="53"/>
        <v>14.808946815345859</v>
      </c>
      <c r="Z85" s="39">
        <f t="shared" si="53"/>
        <v>12.238799020946994</v>
      </c>
      <c r="AA85" s="39">
        <f t="shared" si="53"/>
        <v>10.283990843990182</v>
      </c>
      <c r="AB85" s="40">
        <f t="shared" si="53"/>
        <v>8.7626904232815743</v>
      </c>
      <c r="AC85" s="40">
        <f t="shared" si="53"/>
        <v>7.5555851098703375</v>
      </c>
      <c r="AD85" s="40">
        <f t="shared" si="53"/>
        <v>6.5817541401537145</v>
      </c>
      <c r="AE85" s="40">
        <f t="shared" si="53"/>
        <v>5.7847448497444773</v>
      </c>
      <c r="AF85" s="40">
        <f t="shared" si="53"/>
        <v>5.1242030502926852</v>
      </c>
      <c r="AG85" s="40">
        <f t="shared" si="53"/>
        <v>4.570662597328969</v>
      </c>
      <c r="AH85" s="40">
        <f t="shared" si="53"/>
        <v>3.7022367038364647</v>
      </c>
      <c r="AI85" s="41">
        <f t="shared" si="53"/>
        <v>3.0596997552367484</v>
      </c>
      <c r="AK85" s="43"/>
      <c r="AL85" s="44"/>
      <c r="AM85" s="44">
        <f t="shared" si="45"/>
        <v>13.711987791986909</v>
      </c>
      <c r="AN85" s="39">
        <f t="shared" si="49"/>
        <v>11.106710111509393</v>
      </c>
      <c r="AO85" s="40">
        <f t="shared" ref="AO85:AP91" si="54">$F85/AO$68</f>
        <v>9.1790992657102457</v>
      </c>
      <c r="AP85" s="40">
        <f t="shared" si="54"/>
        <v>7.7129931329926364</v>
      </c>
      <c r="AQ85" s="40">
        <f t="shared" ref="AQ85:AT86" si="55">$F85/AQ$68</f>
        <v>6.5720178174611794</v>
      </c>
      <c r="AR85" s="40">
        <f t="shared" si="55"/>
        <v>5.6666888324027536</v>
      </c>
      <c r="AS85" s="40">
        <f t="shared" si="55"/>
        <v>4.9363156051152863</v>
      </c>
      <c r="AT85" s="41">
        <f t="shared" si="55"/>
        <v>4.338558637308358</v>
      </c>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row>
    <row r="86" spans="3:74" s="3" customFormat="1" ht="15" customHeight="1" x14ac:dyDescent="0.25">
      <c r="C86" s="271"/>
      <c r="D86" s="272"/>
      <c r="E86" s="273"/>
      <c r="F86" s="37">
        <v>5</v>
      </c>
      <c r="G86" s="43"/>
      <c r="H86" s="45"/>
      <c r="I86" s="45"/>
      <c r="J86" s="45"/>
      <c r="K86" s="45">
        <f t="shared" ref="K86:T86" si="56">$F86/K$68</f>
        <v>20.397998368244988</v>
      </c>
      <c r="L86" s="45">
        <f t="shared" si="56"/>
        <v>17.139984739983635</v>
      </c>
      <c r="M86" s="45">
        <f t="shared" si="56"/>
        <v>14.604484038802623</v>
      </c>
      <c r="N86" s="39">
        <f t="shared" si="56"/>
        <v>12.592641849783897</v>
      </c>
      <c r="O86" s="39">
        <f t="shared" si="56"/>
        <v>10.969590233589525</v>
      </c>
      <c r="P86" s="40">
        <f t="shared" si="56"/>
        <v>9.6412414162407956</v>
      </c>
      <c r="Q86" s="40">
        <f t="shared" si="56"/>
        <v>8.5403384171544747</v>
      </c>
      <c r="R86" s="40">
        <f t="shared" si="56"/>
        <v>7.6177709955482822</v>
      </c>
      <c r="S86" s="40">
        <f t="shared" si="56"/>
        <v>6.1703945063941079</v>
      </c>
      <c r="T86" s="41">
        <f t="shared" si="56"/>
        <v>5.0994995920612469</v>
      </c>
      <c r="V86" s="43"/>
      <c r="W86" s="45"/>
      <c r="X86" s="45">
        <f t="shared" si="53"/>
        <v>20.314055988128754</v>
      </c>
      <c r="Y86" s="45">
        <f t="shared" si="53"/>
        <v>16.454385350384289</v>
      </c>
      <c r="Z86" s="44">
        <f t="shared" si="53"/>
        <v>13.598665578829994</v>
      </c>
      <c r="AA86" s="39">
        <f t="shared" si="53"/>
        <v>11.426656493322426</v>
      </c>
      <c r="AB86" s="40">
        <f t="shared" si="53"/>
        <v>9.736322692535083</v>
      </c>
      <c r="AC86" s="40">
        <f t="shared" si="53"/>
        <v>8.395094566522598</v>
      </c>
      <c r="AD86" s="40">
        <f t="shared" si="53"/>
        <v>7.3130601557263493</v>
      </c>
      <c r="AE86" s="40">
        <f t="shared" si="53"/>
        <v>6.4274942774938637</v>
      </c>
      <c r="AF86" s="40">
        <f t="shared" si="53"/>
        <v>5.6935589447696504</v>
      </c>
      <c r="AG86" s="40">
        <f t="shared" si="53"/>
        <v>5.0785139970321884</v>
      </c>
      <c r="AH86" s="40">
        <f t="shared" si="53"/>
        <v>4.1135963375960722</v>
      </c>
      <c r="AI86" s="41">
        <f t="shared" si="53"/>
        <v>3.3996663947074985</v>
      </c>
      <c r="AK86" s="43"/>
      <c r="AL86" s="45"/>
      <c r="AM86" s="45">
        <f t="shared" si="45"/>
        <v>15.235541991096564</v>
      </c>
      <c r="AN86" s="39">
        <f t="shared" si="49"/>
        <v>12.340789012788216</v>
      </c>
      <c r="AO86" s="39">
        <f t="shared" si="54"/>
        <v>10.198999184122494</v>
      </c>
      <c r="AP86" s="40">
        <f t="shared" si="54"/>
        <v>8.5699923699918177</v>
      </c>
      <c r="AQ86" s="40">
        <f t="shared" si="55"/>
        <v>7.3022420194013113</v>
      </c>
      <c r="AR86" s="40">
        <f t="shared" si="55"/>
        <v>6.2963209248919485</v>
      </c>
      <c r="AS86" s="40">
        <f t="shared" si="55"/>
        <v>5.4847951167947624</v>
      </c>
      <c r="AT86" s="41">
        <f t="shared" si="55"/>
        <v>4.8206207081203978</v>
      </c>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row>
    <row r="87" spans="3:74" s="3" customFormat="1" ht="15" customHeight="1" x14ac:dyDescent="0.25">
      <c r="C87" s="271"/>
      <c r="D87" s="272"/>
      <c r="E87" s="273"/>
      <c r="F87" s="37">
        <v>5.5</v>
      </c>
      <c r="G87" s="43"/>
      <c r="H87" s="45"/>
      <c r="I87" s="45"/>
      <c r="J87" s="45"/>
      <c r="K87" s="45"/>
      <c r="L87" s="45">
        <f t="shared" ref="L87:T88" si="57">$F87/L$68</f>
        <v>18.853983213982001</v>
      </c>
      <c r="M87" s="45">
        <f t="shared" si="57"/>
        <v>16.064932442682885</v>
      </c>
      <c r="N87" s="44">
        <f t="shared" si="57"/>
        <v>13.851906034762287</v>
      </c>
      <c r="O87" s="39">
        <f t="shared" si="57"/>
        <v>12.066549256948477</v>
      </c>
      <c r="P87" s="39">
        <f t="shared" si="57"/>
        <v>10.605365557864875</v>
      </c>
      <c r="Q87" s="40">
        <f t="shared" si="57"/>
        <v>9.3943722588699234</v>
      </c>
      <c r="R87" s="40">
        <f t="shared" si="57"/>
        <v>8.3795480951031109</v>
      </c>
      <c r="S87" s="40">
        <f t="shared" si="57"/>
        <v>6.7874339570335183</v>
      </c>
      <c r="T87" s="41">
        <f t="shared" si="57"/>
        <v>5.6094495512673719</v>
      </c>
      <c r="V87" s="43"/>
      <c r="W87" s="45"/>
      <c r="X87" s="45"/>
      <c r="Y87" s="45">
        <f t="shared" ref="Y87:AI89" si="58">$F87/Y$68</f>
        <v>18.099823885422719</v>
      </c>
      <c r="Z87" s="45">
        <f t="shared" si="58"/>
        <v>14.958532136712993</v>
      </c>
      <c r="AA87" s="39">
        <f t="shared" si="58"/>
        <v>12.569322142654668</v>
      </c>
      <c r="AB87" s="39">
        <f t="shared" si="58"/>
        <v>10.70995496178859</v>
      </c>
      <c r="AC87" s="40">
        <f t="shared" si="58"/>
        <v>9.2346040231748567</v>
      </c>
      <c r="AD87" s="40">
        <f t="shared" si="58"/>
        <v>8.044366171298984</v>
      </c>
      <c r="AE87" s="40">
        <f t="shared" si="58"/>
        <v>7.0702437052432501</v>
      </c>
      <c r="AF87" s="40">
        <f t="shared" si="58"/>
        <v>6.2629148392466156</v>
      </c>
      <c r="AG87" s="40">
        <f t="shared" si="58"/>
        <v>5.586365396735407</v>
      </c>
      <c r="AH87" s="40">
        <f t="shared" si="58"/>
        <v>4.5249559713556797</v>
      </c>
      <c r="AI87" s="41">
        <f t="shared" si="58"/>
        <v>3.7396330341782482</v>
      </c>
      <c r="AK87" s="43"/>
      <c r="AL87" s="45"/>
      <c r="AM87" s="45"/>
      <c r="AN87" s="44">
        <f t="shared" si="49"/>
        <v>13.574867914067037</v>
      </c>
      <c r="AO87" s="39">
        <f t="shared" si="54"/>
        <v>11.218899102534744</v>
      </c>
      <c r="AP87" s="40">
        <f t="shared" si="54"/>
        <v>9.4269916069910007</v>
      </c>
      <c r="AQ87" s="40">
        <f t="shared" ref="AQ87:AT91" si="59">$F87/AQ$68</f>
        <v>8.0324662213414424</v>
      </c>
      <c r="AR87" s="40">
        <f t="shared" si="59"/>
        <v>6.9259530173811434</v>
      </c>
      <c r="AS87" s="40">
        <f t="shared" si="59"/>
        <v>6.0332746284742385</v>
      </c>
      <c r="AT87" s="41">
        <f t="shared" si="59"/>
        <v>5.3026827789324376</v>
      </c>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row>
    <row r="88" spans="3:74" s="3" customFormat="1" ht="15" customHeight="1" x14ac:dyDescent="0.25">
      <c r="C88" s="271"/>
      <c r="D88" s="272"/>
      <c r="E88" s="273"/>
      <c r="F88" s="37">
        <v>6</v>
      </c>
      <c r="G88" s="43"/>
      <c r="H88" s="45"/>
      <c r="I88" s="45"/>
      <c r="J88" s="45"/>
      <c r="K88" s="45"/>
      <c r="L88" s="45">
        <f t="shared" si="57"/>
        <v>20.567981687980364</v>
      </c>
      <c r="M88" s="45">
        <f t="shared" si="57"/>
        <v>17.525380846563145</v>
      </c>
      <c r="N88" s="45">
        <f t="shared" si="57"/>
        <v>15.111170219740675</v>
      </c>
      <c r="O88" s="44">
        <f t="shared" si="57"/>
        <v>13.163508280307429</v>
      </c>
      <c r="P88" s="39">
        <f t="shared" si="57"/>
        <v>11.569489699488955</v>
      </c>
      <c r="Q88" s="39">
        <f t="shared" si="57"/>
        <v>10.24840610058537</v>
      </c>
      <c r="R88" s="40">
        <f t="shared" si="57"/>
        <v>9.1413251946579379</v>
      </c>
      <c r="S88" s="40">
        <f t="shared" si="57"/>
        <v>7.4044734076729295</v>
      </c>
      <c r="T88" s="41">
        <f t="shared" si="57"/>
        <v>6.1193995104734968</v>
      </c>
      <c r="V88" s="43"/>
      <c r="W88" s="45"/>
      <c r="X88" s="45"/>
      <c r="Y88" s="45">
        <f t="shared" si="58"/>
        <v>19.745262420461145</v>
      </c>
      <c r="Z88" s="45">
        <f t="shared" si="58"/>
        <v>16.318398694595992</v>
      </c>
      <c r="AA88" s="44">
        <f t="shared" si="58"/>
        <v>13.71198779198691</v>
      </c>
      <c r="AB88" s="39">
        <f t="shared" si="58"/>
        <v>11.683587231042099</v>
      </c>
      <c r="AC88" s="39">
        <f t="shared" si="58"/>
        <v>10.074113479827117</v>
      </c>
      <c r="AD88" s="40">
        <f t="shared" si="58"/>
        <v>8.7756721868716188</v>
      </c>
      <c r="AE88" s="40">
        <f t="shared" si="58"/>
        <v>7.7129931329926364</v>
      </c>
      <c r="AF88" s="40">
        <f t="shared" si="58"/>
        <v>6.8322707337235808</v>
      </c>
      <c r="AG88" s="40">
        <f t="shared" si="58"/>
        <v>6.0942167964386256</v>
      </c>
      <c r="AH88" s="40">
        <f t="shared" si="58"/>
        <v>4.9363156051152863</v>
      </c>
      <c r="AI88" s="41">
        <f t="shared" si="58"/>
        <v>4.0795996736489979</v>
      </c>
      <c r="AK88" s="43"/>
      <c r="AL88" s="45"/>
      <c r="AM88" s="45"/>
      <c r="AN88" s="45">
        <f t="shared" si="49"/>
        <v>14.808946815345859</v>
      </c>
      <c r="AO88" s="39">
        <f t="shared" si="54"/>
        <v>12.238799020946994</v>
      </c>
      <c r="AP88" s="39">
        <f t="shared" si="54"/>
        <v>10.283990843990182</v>
      </c>
      <c r="AQ88" s="40">
        <f t="shared" si="59"/>
        <v>8.7626904232815725</v>
      </c>
      <c r="AR88" s="40">
        <f t="shared" si="59"/>
        <v>7.5555851098703375</v>
      </c>
      <c r="AS88" s="40">
        <f t="shared" si="59"/>
        <v>6.5817541401537145</v>
      </c>
      <c r="AT88" s="41">
        <f t="shared" si="59"/>
        <v>5.7847448497444773</v>
      </c>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row>
    <row r="89" spans="3:74" s="3" customFormat="1" ht="15" customHeight="1" x14ac:dyDescent="0.25">
      <c r="C89" s="271"/>
      <c r="D89" s="272"/>
      <c r="E89" s="273"/>
      <c r="F89" s="37">
        <v>6.5</v>
      </c>
      <c r="G89" s="43"/>
      <c r="H89" s="45"/>
      <c r="I89" s="45"/>
      <c r="J89" s="45"/>
      <c r="K89" s="45"/>
      <c r="L89" s="45"/>
      <c r="M89" s="45">
        <f t="shared" ref="M89:T89" si="60">$F89/M$68</f>
        <v>18.985829250443409</v>
      </c>
      <c r="N89" s="45">
        <f t="shared" si="60"/>
        <v>16.370434404719067</v>
      </c>
      <c r="O89" s="45">
        <f t="shared" si="60"/>
        <v>14.260467303666381</v>
      </c>
      <c r="P89" s="39">
        <f t="shared" si="60"/>
        <v>12.533613841113034</v>
      </c>
      <c r="Q89" s="39">
        <f t="shared" si="60"/>
        <v>11.102439942300819</v>
      </c>
      <c r="R89" s="40">
        <f t="shared" si="60"/>
        <v>9.9031022942127667</v>
      </c>
      <c r="S89" s="40">
        <f t="shared" si="60"/>
        <v>8.0215128583123398</v>
      </c>
      <c r="T89" s="41">
        <f t="shared" si="60"/>
        <v>6.6293494696796218</v>
      </c>
      <c r="V89" s="43"/>
      <c r="W89" s="45"/>
      <c r="X89" s="45"/>
      <c r="Y89" s="45">
        <f t="shared" si="58"/>
        <v>21.390700955499575</v>
      </c>
      <c r="Z89" s="45">
        <f t="shared" si="58"/>
        <v>17.67826525247899</v>
      </c>
      <c r="AA89" s="45">
        <f t="shared" si="58"/>
        <v>14.854653441319153</v>
      </c>
      <c r="AB89" s="39">
        <f t="shared" si="58"/>
        <v>12.657219500295607</v>
      </c>
      <c r="AC89" s="39">
        <f t="shared" si="58"/>
        <v>10.913622936479378</v>
      </c>
      <c r="AD89" s="40">
        <f t="shared" si="58"/>
        <v>9.5069782024442553</v>
      </c>
      <c r="AE89" s="40">
        <f t="shared" si="58"/>
        <v>8.3557425607420228</v>
      </c>
      <c r="AF89" s="40">
        <f t="shared" si="58"/>
        <v>7.4016266282005452</v>
      </c>
      <c r="AG89" s="40">
        <f t="shared" si="58"/>
        <v>6.6020681961418441</v>
      </c>
      <c r="AH89" s="40">
        <f t="shared" si="58"/>
        <v>5.3476752388748938</v>
      </c>
      <c r="AI89" s="41">
        <f t="shared" si="58"/>
        <v>4.4195663131197476</v>
      </c>
      <c r="AK89" s="43"/>
      <c r="AL89" s="45"/>
      <c r="AM89" s="45"/>
      <c r="AN89" s="45">
        <f t="shared" si="49"/>
        <v>16.04302571662468</v>
      </c>
      <c r="AO89" s="44">
        <f t="shared" si="54"/>
        <v>13.258698939359244</v>
      </c>
      <c r="AP89" s="39">
        <f t="shared" si="54"/>
        <v>11.140990080989363</v>
      </c>
      <c r="AQ89" s="40">
        <f t="shared" si="59"/>
        <v>9.4929146252217045</v>
      </c>
      <c r="AR89" s="40">
        <f t="shared" si="59"/>
        <v>8.1852172023595333</v>
      </c>
      <c r="AS89" s="40">
        <f t="shared" si="59"/>
        <v>7.1302336518331906</v>
      </c>
      <c r="AT89" s="41">
        <f t="shared" si="59"/>
        <v>6.2668069205565171</v>
      </c>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row>
    <row r="90" spans="3:74" s="3" customFormat="1" ht="15" customHeight="1" x14ac:dyDescent="0.25">
      <c r="C90" s="271"/>
      <c r="D90" s="272"/>
      <c r="E90" s="273"/>
      <c r="F90" s="37">
        <v>7</v>
      </c>
      <c r="G90" s="43"/>
      <c r="H90" s="45"/>
      <c r="I90" s="45"/>
      <c r="J90" s="45"/>
      <c r="K90" s="45"/>
      <c r="L90" s="45"/>
      <c r="M90" s="45"/>
      <c r="N90" s="45">
        <f t="shared" ref="N90:T90" si="61">$F90/N$68</f>
        <v>17.629698589697455</v>
      </c>
      <c r="O90" s="45">
        <f t="shared" si="61"/>
        <v>15.357426327025333</v>
      </c>
      <c r="P90" s="44">
        <f t="shared" si="61"/>
        <v>13.497737982737114</v>
      </c>
      <c r="Q90" s="39">
        <f t="shared" si="61"/>
        <v>11.956473784016266</v>
      </c>
      <c r="R90" s="39">
        <f t="shared" si="61"/>
        <v>10.664879393767595</v>
      </c>
      <c r="S90" s="40">
        <f t="shared" si="61"/>
        <v>8.6385523089517502</v>
      </c>
      <c r="T90" s="41">
        <f t="shared" si="61"/>
        <v>7.1392994288857459</v>
      </c>
      <c r="V90" s="43"/>
      <c r="W90" s="45"/>
      <c r="X90" s="45"/>
      <c r="Y90" s="45"/>
      <c r="Z90" s="45">
        <f t="shared" ref="Z90:AI91" si="62">$F90/Z$68</f>
        <v>19.038131810361989</v>
      </c>
      <c r="AA90" s="45">
        <f t="shared" si="62"/>
        <v>15.997319090651395</v>
      </c>
      <c r="AB90" s="44">
        <f t="shared" si="62"/>
        <v>13.630851769549116</v>
      </c>
      <c r="AC90" s="39">
        <f t="shared" si="62"/>
        <v>11.753132393131636</v>
      </c>
      <c r="AD90" s="39">
        <f t="shared" si="62"/>
        <v>10.23828421801689</v>
      </c>
      <c r="AE90" s="40">
        <f t="shared" si="62"/>
        <v>8.9984919884914092</v>
      </c>
      <c r="AF90" s="40">
        <f t="shared" si="62"/>
        <v>7.9709825226775104</v>
      </c>
      <c r="AG90" s="40">
        <f t="shared" si="62"/>
        <v>7.1099195958450636</v>
      </c>
      <c r="AH90" s="40">
        <f t="shared" si="62"/>
        <v>5.7590348726345013</v>
      </c>
      <c r="AI90" s="41">
        <f t="shared" si="62"/>
        <v>4.7595329525904972</v>
      </c>
      <c r="AK90" s="43"/>
      <c r="AL90" s="45"/>
      <c r="AM90" s="45"/>
      <c r="AN90" s="45"/>
      <c r="AO90" s="45">
        <f t="shared" si="54"/>
        <v>14.278598857771492</v>
      </c>
      <c r="AP90" s="39">
        <f t="shared" si="54"/>
        <v>11.997989317988546</v>
      </c>
      <c r="AQ90" s="39">
        <f t="shared" si="59"/>
        <v>10.223138827161835</v>
      </c>
      <c r="AR90" s="40">
        <f t="shared" si="59"/>
        <v>8.8148492948487274</v>
      </c>
      <c r="AS90" s="40">
        <f t="shared" si="59"/>
        <v>7.6787131635126666</v>
      </c>
      <c r="AT90" s="41">
        <f t="shared" si="59"/>
        <v>6.7488689913685569</v>
      </c>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row>
    <row r="91" spans="3:74" s="46" customFormat="1" ht="15" customHeight="1" x14ac:dyDescent="0.25">
      <c r="C91" s="271"/>
      <c r="D91" s="272"/>
      <c r="E91" s="273"/>
      <c r="F91" s="37">
        <v>7.5</v>
      </c>
      <c r="G91" s="43"/>
      <c r="H91" s="45"/>
      <c r="I91" s="45"/>
      <c r="J91" s="45"/>
      <c r="K91" s="45"/>
      <c r="L91" s="45"/>
      <c r="M91" s="45"/>
      <c r="N91" s="45"/>
      <c r="O91" s="45">
        <f t="shared" ref="O91:T92" si="63">$F91/O$68</f>
        <v>16.454385350384285</v>
      </c>
      <c r="P91" s="45">
        <f t="shared" si="63"/>
        <v>14.461862124361192</v>
      </c>
      <c r="Q91" s="39">
        <f t="shared" si="63"/>
        <v>12.810507625731713</v>
      </c>
      <c r="R91" s="39">
        <f t="shared" si="63"/>
        <v>11.426656493322422</v>
      </c>
      <c r="S91" s="40">
        <f t="shared" si="63"/>
        <v>9.2555917595911623</v>
      </c>
      <c r="T91" s="41">
        <f t="shared" si="63"/>
        <v>7.6492493880918708</v>
      </c>
      <c r="V91" s="43"/>
      <c r="W91" s="45"/>
      <c r="X91" s="45"/>
      <c r="Y91" s="45"/>
      <c r="Z91" s="45">
        <f t="shared" si="62"/>
        <v>20.397998368244991</v>
      </c>
      <c r="AA91" s="45">
        <f t="shared" si="62"/>
        <v>17.139984739983639</v>
      </c>
      <c r="AB91" s="45">
        <f t="shared" si="62"/>
        <v>14.604484038802623</v>
      </c>
      <c r="AC91" s="39">
        <f t="shared" si="62"/>
        <v>12.592641849783897</v>
      </c>
      <c r="AD91" s="39">
        <f t="shared" si="62"/>
        <v>10.969590233589525</v>
      </c>
      <c r="AE91" s="40">
        <f t="shared" si="62"/>
        <v>9.6412414162407956</v>
      </c>
      <c r="AF91" s="40">
        <f t="shared" si="62"/>
        <v>8.5403384171544747</v>
      </c>
      <c r="AG91" s="40">
        <f t="shared" si="62"/>
        <v>7.6177709955482822</v>
      </c>
      <c r="AH91" s="40">
        <f t="shared" si="62"/>
        <v>6.1703945063941079</v>
      </c>
      <c r="AI91" s="41">
        <f t="shared" si="62"/>
        <v>5.0994995920612478</v>
      </c>
      <c r="AK91" s="43"/>
      <c r="AL91" s="45"/>
      <c r="AM91" s="45"/>
      <c r="AN91" s="45"/>
      <c r="AO91" s="45">
        <f t="shared" si="54"/>
        <v>15.298498776183742</v>
      </c>
      <c r="AP91" s="39">
        <f t="shared" si="54"/>
        <v>12.854988554987727</v>
      </c>
      <c r="AQ91" s="39">
        <f t="shared" si="59"/>
        <v>10.953363029101967</v>
      </c>
      <c r="AR91" s="40">
        <f t="shared" si="59"/>
        <v>9.4444813873379232</v>
      </c>
      <c r="AS91" s="40">
        <f t="shared" si="59"/>
        <v>8.2271926751921427</v>
      </c>
      <c r="AT91" s="41">
        <f t="shared" si="59"/>
        <v>7.2309310621805958</v>
      </c>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row>
    <row r="92" spans="3:74" s="46" customFormat="1" ht="15" customHeight="1" x14ac:dyDescent="0.25">
      <c r="C92" s="271"/>
      <c r="D92" s="272"/>
      <c r="E92" s="273"/>
      <c r="F92" s="37">
        <v>8</v>
      </c>
      <c r="G92" s="43"/>
      <c r="H92" s="45"/>
      <c r="I92" s="45"/>
      <c r="J92" s="45"/>
      <c r="K92" s="45"/>
      <c r="L92" s="45"/>
      <c r="M92" s="45"/>
      <c r="N92" s="45"/>
      <c r="O92" s="45">
        <f t="shared" si="63"/>
        <v>17.551344373743238</v>
      </c>
      <c r="P92" s="45">
        <f t="shared" si="63"/>
        <v>15.425986265985271</v>
      </c>
      <c r="Q92" s="44">
        <f t="shared" si="63"/>
        <v>13.664541467447162</v>
      </c>
      <c r="R92" s="39">
        <f t="shared" si="63"/>
        <v>12.188433592877251</v>
      </c>
      <c r="S92" s="40">
        <f t="shared" si="63"/>
        <v>9.8726312102305727</v>
      </c>
      <c r="T92" s="41">
        <f t="shared" si="63"/>
        <v>8.1591993472979958</v>
      </c>
      <c r="V92" s="43"/>
      <c r="W92" s="45"/>
      <c r="X92" s="45"/>
      <c r="Y92" s="45"/>
      <c r="Z92" s="45"/>
      <c r="AA92" s="45">
        <f t="shared" ref="AA92:AI92" si="64">$F92/AA$68</f>
        <v>18.282650389315879</v>
      </c>
      <c r="AB92" s="45">
        <f t="shared" si="64"/>
        <v>15.578116308056131</v>
      </c>
      <c r="AC92" s="44">
        <f t="shared" si="64"/>
        <v>13.432151306436156</v>
      </c>
      <c r="AD92" s="39">
        <f t="shared" si="64"/>
        <v>11.70089624916216</v>
      </c>
      <c r="AE92" s="39">
        <f t="shared" si="64"/>
        <v>10.283990843990182</v>
      </c>
      <c r="AF92" s="40">
        <f t="shared" si="64"/>
        <v>9.1096943116314399</v>
      </c>
      <c r="AG92" s="40">
        <f t="shared" si="64"/>
        <v>8.1256223952515008</v>
      </c>
      <c r="AH92" s="40">
        <f t="shared" si="64"/>
        <v>6.5817541401537154</v>
      </c>
      <c r="AI92" s="41">
        <f t="shared" si="64"/>
        <v>5.4394662315319975</v>
      </c>
      <c r="AK92" s="43"/>
      <c r="AL92" s="45"/>
      <c r="AM92" s="45"/>
      <c r="AN92" s="45"/>
      <c r="AO92" s="45"/>
      <c r="AP92" s="44">
        <f t="shared" ref="AP92:AS93" si="65">$F92/AP$68</f>
        <v>13.711987791986909</v>
      </c>
      <c r="AQ92" s="39">
        <f t="shared" si="65"/>
        <v>11.683587231042097</v>
      </c>
      <c r="AR92" s="40">
        <f t="shared" si="65"/>
        <v>10.074113479827117</v>
      </c>
      <c r="AS92" s="40">
        <f t="shared" si="65"/>
        <v>8.7756721868716188</v>
      </c>
      <c r="AT92" s="41">
        <f t="shared" ref="AT92:AT97" si="66">$F92/AT$68</f>
        <v>7.7129931329926356</v>
      </c>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row>
    <row r="93" spans="3:74" s="46" customFormat="1" ht="15" customHeight="1" x14ac:dyDescent="0.25">
      <c r="C93" s="271"/>
      <c r="D93" s="272"/>
      <c r="E93" s="273"/>
      <c r="F93" s="37">
        <v>8.5</v>
      </c>
      <c r="G93" s="43"/>
      <c r="H93" s="45"/>
      <c r="I93" s="45"/>
      <c r="J93" s="45"/>
      <c r="K93" s="45"/>
      <c r="L93" s="45"/>
      <c r="M93" s="45"/>
      <c r="N93" s="45"/>
      <c r="O93" s="45"/>
      <c r="P93" s="45">
        <f t="shared" ref="P93:T94" si="67">$F93/P$68</f>
        <v>16.390110407609352</v>
      </c>
      <c r="Q93" s="45">
        <f t="shared" si="67"/>
        <v>14.518575309162609</v>
      </c>
      <c r="R93" s="39">
        <f t="shared" si="67"/>
        <v>12.95021069243208</v>
      </c>
      <c r="S93" s="39">
        <f t="shared" si="67"/>
        <v>10.489670660869983</v>
      </c>
      <c r="T93" s="41">
        <f t="shared" si="67"/>
        <v>8.6691493065041207</v>
      </c>
      <c r="V93" s="43"/>
      <c r="W93" s="45"/>
      <c r="X93" s="45"/>
      <c r="Y93" s="45"/>
      <c r="Z93" s="45"/>
      <c r="AA93" s="45"/>
      <c r="AB93" s="45">
        <f t="shared" ref="AB93:AI94" si="68">$F93/AB$68</f>
        <v>16.551748577309638</v>
      </c>
      <c r="AC93" s="45">
        <f t="shared" si="68"/>
        <v>14.271660763088416</v>
      </c>
      <c r="AD93" s="39">
        <f t="shared" si="68"/>
        <v>12.432202264734794</v>
      </c>
      <c r="AE93" s="39">
        <f t="shared" si="68"/>
        <v>10.926740271739568</v>
      </c>
      <c r="AF93" s="40">
        <f t="shared" si="68"/>
        <v>9.6790502061084052</v>
      </c>
      <c r="AG93" s="40">
        <f t="shared" si="68"/>
        <v>8.6334737949547193</v>
      </c>
      <c r="AH93" s="40">
        <f t="shared" si="68"/>
        <v>6.9931137739133229</v>
      </c>
      <c r="AI93" s="41">
        <f t="shared" si="68"/>
        <v>5.7794328710027472</v>
      </c>
      <c r="AK93" s="43"/>
      <c r="AL93" s="45"/>
      <c r="AM93" s="45"/>
      <c r="AN93" s="45"/>
      <c r="AO93" s="45"/>
      <c r="AP93" s="45">
        <f t="shared" si="65"/>
        <v>14.568987028986092</v>
      </c>
      <c r="AQ93" s="39">
        <f t="shared" si="65"/>
        <v>12.413811432982229</v>
      </c>
      <c r="AR93" s="39">
        <f t="shared" si="65"/>
        <v>10.703745572316311</v>
      </c>
      <c r="AS93" s="40">
        <f t="shared" si="65"/>
        <v>9.3241516985510948</v>
      </c>
      <c r="AT93" s="41">
        <f t="shared" si="66"/>
        <v>8.1950552038046762</v>
      </c>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row>
    <row r="94" spans="3:74" s="46" customFormat="1" ht="15" customHeight="1" x14ac:dyDescent="0.25">
      <c r="C94" s="271"/>
      <c r="D94" s="272"/>
      <c r="E94" s="273"/>
      <c r="F94" s="37">
        <v>9</v>
      </c>
      <c r="G94" s="43"/>
      <c r="H94" s="45"/>
      <c r="I94" s="45"/>
      <c r="J94" s="45"/>
      <c r="K94" s="45"/>
      <c r="L94" s="45"/>
      <c r="M94" s="45"/>
      <c r="N94" s="45"/>
      <c r="O94" s="45"/>
      <c r="P94" s="45">
        <f t="shared" si="67"/>
        <v>17.354234549233432</v>
      </c>
      <c r="Q94" s="45">
        <f t="shared" si="67"/>
        <v>15.372609150878056</v>
      </c>
      <c r="R94" s="45">
        <f t="shared" si="67"/>
        <v>13.711987791986909</v>
      </c>
      <c r="S94" s="39">
        <f t="shared" si="67"/>
        <v>11.106710111509393</v>
      </c>
      <c r="T94" s="41">
        <f t="shared" si="67"/>
        <v>9.1790992657102457</v>
      </c>
      <c r="V94" s="43"/>
      <c r="W94" s="45"/>
      <c r="X94" s="45"/>
      <c r="Y94" s="45"/>
      <c r="Z94" s="45"/>
      <c r="AA94" s="45"/>
      <c r="AB94" s="45">
        <f t="shared" si="68"/>
        <v>17.525380846563149</v>
      </c>
      <c r="AC94" s="45">
        <f t="shared" si="68"/>
        <v>15.111170219740675</v>
      </c>
      <c r="AD94" s="44">
        <f t="shared" si="68"/>
        <v>13.163508280307429</v>
      </c>
      <c r="AE94" s="39">
        <f t="shared" si="68"/>
        <v>11.569489699488955</v>
      </c>
      <c r="AF94" s="39">
        <f t="shared" si="68"/>
        <v>10.24840610058537</v>
      </c>
      <c r="AG94" s="40">
        <f t="shared" si="68"/>
        <v>9.1413251946579379</v>
      </c>
      <c r="AH94" s="40">
        <f t="shared" si="68"/>
        <v>7.4044734076729295</v>
      </c>
      <c r="AI94" s="41">
        <f t="shared" si="68"/>
        <v>6.1193995104734968</v>
      </c>
      <c r="AK94" s="43"/>
      <c r="AL94" s="45"/>
      <c r="AM94" s="45"/>
      <c r="AN94" s="45"/>
      <c r="AO94" s="45"/>
      <c r="AP94" s="45"/>
      <c r="AQ94" s="44">
        <f t="shared" ref="AQ94:AS96" si="69">$F94/AQ$68</f>
        <v>13.144035634922359</v>
      </c>
      <c r="AR94" s="39">
        <f t="shared" si="69"/>
        <v>11.333377664805507</v>
      </c>
      <c r="AS94" s="40">
        <f t="shared" si="69"/>
        <v>9.8726312102305727</v>
      </c>
      <c r="AT94" s="41">
        <f t="shared" si="66"/>
        <v>8.677117274616716</v>
      </c>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row>
    <row r="95" spans="3:74" s="46" customFormat="1" ht="15" customHeight="1" x14ac:dyDescent="0.25">
      <c r="C95" s="271"/>
      <c r="D95" s="272"/>
      <c r="E95" s="273"/>
      <c r="F95" s="37">
        <v>9.5</v>
      </c>
      <c r="G95" s="43"/>
      <c r="H95" s="45"/>
      <c r="I95" s="45"/>
      <c r="J95" s="45"/>
      <c r="K95" s="45"/>
      <c r="L95" s="45"/>
      <c r="M95" s="45"/>
      <c r="N95" s="45"/>
      <c r="O95" s="45"/>
      <c r="P95" s="45"/>
      <c r="Q95" s="45">
        <f t="shared" ref="Q95:T96" si="70">$F95/Q$68</f>
        <v>16.226642992593504</v>
      </c>
      <c r="R95" s="45">
        <f t="shared" si="70"/>
        <v>14.473764891541736</v>
      </c>
      <c r="S95" s="39">
        <f t="shared" si="70"/>
        <v>11.723749562148804</v>
      </c>
      <c r="T95" s="41">
        <f t="shared" si="70"/>
        <v>9.6890492249163707</v>
      </c>
      <c r="V95" s="43"/>
      <c r="W95" s="45"/>
      <c r="X95" s="45"/>
      <c r="Y95" s="45"/>
      <c r="Z95" s="45"/>
      <c r="AA95" s="45"/>
      <c r="AB95" s="45"/>
      <c r="AC95" s="45"/>
      <c r="AD95" s="45">
        <f t="shared" ref="AD95:AI96" si="71">$F95/AD$68</f>
        <v>13.894814295880064</v>
      </c>
      <c r="AE95" s="39">
        <f t="shared" si="71"/>
        <v>12.212239127238341</v>
      </c>
      <c r="AF95" s="39">
        <f t="shared" si="71"/>
        <v>10.817761995062336</v>
      </c>
      <c r="AG95" s="40">
        <f t="shared" si="71"/>
        <v>9.6491765943611583</v>
      </c>
      <c r="AH95" s="40">
        <f t="shared" si="71"/>
        <v>7.815833041432537</v>
      </c>
      <c r="AI95" s="41">
        <f t="shared" si="71"/>
        <v>6.4593661499442465</v>
      </c>
      <c r="AK95" s="43"/>
      <c r="AL95" s="45"/>
      <c r="AM95" s="45"/>
      <c r="AN95" s="45"/>
      <c r="AO95" s="45"/>
      <c r="AP95" s="45"/>
      <c r="AQ95" s="45">
        <f t="shared" si="69"/>
        <v>13.874259836862491</v>
      </c>
      <c r="AR95" s="39">
        <f t="shared" si="69"/>
        <v>11.963009757294701</v>
      </c>
      <c r="AS95" s="39">
        <f t="shared" si="69"/>
        <v>10.421110721910049</v>
      </c>
      <c r="AT95" s="41">
        <f t="shared" si="66"/>
        <v>9.1591793454287558</v>
      </c>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row>
    <row r="96" spans="3:74" s="46" customFormat="1" ht="15" customHeight="1" x14ac:dyDescent="0.25">
      <c r="C96" s="271"/>
      <c r="D96" s="272"/>
      <c r="E96" s="273"/>
      <c r="F96" s="37">
        <v>10</v>
      </c>
      <c r="G96" s="43"/>
      <c r="H96" s="45"/>
      <c r="I96" s="45"/>
      <c r="J96" s="45"/>
      <c r="K96" s="45"/>
      <c r="L96" s="45"/>
      <c r="M96" s="45"/>
      <c r="N96" s="45"/>
      <c r="O96" s="45"/>
      <c r="P96" s="45"/>
      <c r="Q96" s="45">
        <f t="shared" si="70"/>
        <v>17.080676834308949</v>
      </c>
      <c r="R96" s="45">
        <f t="shared" si="70"/>
        <v>15.235541991096564</v>
      </c>
      <c r="S96" s="39">
        <f t="shared" si="70"/>
        <v>12.340789012788216</v>
      </c>
      <c r="T96" s="47">
        <f t="shared" si="70"/>
        <v>10.198999184122494</v>
      </c>
      <c r="V96" s="43"/>
      <c r="W96" s="45"/>
      <c r="X96" s="45"/>
      <c r="Y96" s="45"/>
      <c r="Z96" s="45"/>
      <c r="AA96" s="45"/>
      <c r="AB96" s="45"/>
      <c r="AC96" s="45"/>
      <c r="AD96" s="45">
        <f t="shared" si="71"/>
        <v>14.626120311452699</v>
      </c>
      <c r="AE96" s="39">
        <f t="shared" si="71"/>
        <v>12.854988554987727</v>
      </c>
      <c r="AF96" s="39">
        <f t="shared" si="71"/>
        <v>11.387117889539301</v>
      </c>
      <c r="AG96" s="39">
        <f t="shared" si="71"/>
        <v>10.157027994064377</v>
      </c>
      <c r="AH96" s="40">
        <f t="shared" si="71"/>
        <v>8.2271926751921445</v>
      </c>
      <c r="AI96" s="41">
        <f t="shared" si="71"/>
        <v>6.7993327894149971</v>
      </c>
      <c r="AK96" s="43"/>
      <c r="AL96" s="45"/>
      <c r="AM96" s="45"/>
      <c r="AN96" s="45"/>
      <c r="AO96" s="45"/>
      <c r="AP96" s="45"/>
      <c r="AQ96" s="45">
        <f t="shared" si="69"/>
        <v>14.604484038802623</v>
      </c>
      <c r="AR96" s="39">
        <f t="shared" si="69"/>
        <v>12.592641849783897</v>
      </c>
      <c r="AS96" s="39">
        <f t="shared" si="69"/>
        <v>10.969590233589525</v>
      </c>
      <c r="AT96" s="41">
        <f t="shared" si="66"/>
        <v>9.6412414162407956</v>
      </c>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row>
    <row r="97" spans="3:74" s="46" customFormat="1" ht="15" customHeight="1" x14ac:dyDescent="0.25">
      <c r="C97" s="271"/>
      <c r="D97" s="272"/>
      <c r="E97" s="273"/>
      <c r="F97" s="37">
        <v>10.5</v>
      </c>
      <c r="G97" s="43"/>
      <c r="H97" s="45"/>
      <c r="I97" s="45"/>
      <c r="J97" s="45"/>
      <c r="K97" s="45"/>
      <c r="L97" s="45"/>
      <c r="M97" s="45"/>
      <c r="N97" s="45"/>
      <c r="O97" s="45"/>
      <c r="P97" s="45"/>
      <c r="Q97" s="45"/>
      <c r="R97" s="45"/>
      <c r="S97" s="44">
        <f>$F97/S$68</f>
        <v>12.957828463427626</v>
      </c>
      <c r="T97" s="47">
        <f>$F97/T$68</f>
        <v>10.708949143328619</v>
      </c>
      <c r="V97" s="43"/>
      <c r="W97" s="45"/>
      <c r="X97" s="45"/>
      <c r="Y97" s="45"/>
      <c r="Z97" s="45"/>
      <c r="AA97" s="45"/>
      <c r="AB97" s="45"/>
      <c r="AC97" s="45"/>
      <c r="AD97" s="45"/>
      <c r="AE97" s="44">
        <f t="shared" ref="AE97:AI98" si="72">$F97/AE$68</f>
        <v>13.497737982737114</v>
      </c>
      <c r="AF97" s="39">
        <f t="shared" si="72"/>
        <v>11.956473784016266</v>
      </c>
      <c r="AG97" s="39">
        <f t="shared" si="72"/>
        <v>10.664879393767595</v>
      </c>
      <c r="AH97" s="40">
        <f t="shared" si="72"/>
        <v>8.638552308951752</v>
      </c>
      <c r="AI97" s="41">
        <f t="shared" si="72"/>
        <v>7.1392994288857468</v>
      </c>
      <c r="AK97" s="43"/>
      <c r="AL97" s="45"/>
      <c r="AM97" s="45"/>
      <c r="AN97" s="45"/>
      <c r="AO97" s="45"/>
      <c r="AP97" s="45"/>
      <c r="AQ97" s="45"/>
      <c r="AR97" s="44">
        <f t="shared" ref="AR97:AS99" si="73">$F97/AR$68</f>
        <v>13.222273942273091</v>
      </c>
      <c r="AS97" s="39">
        <f t="shared" si="73"/>
        <v>11.518069745269001</v>
      </c>
      <c r="AT97" s="41">
        <f t="shared" si="66"/>
        <v>10.123303487052835</v>
      </c>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row>
    <row r="98" spans="3:74" s="46" customFormat="1" ht="15" customHeight="1" x14ac:dyDescent="0.25">
      <c r="C98" s="271"/>
      <c r="D98" s="272"/>
      <c r="E98" s="273"/>
      <c r="F98" s="37">
        <v>11</v>
      </c>
      <c r="G98" s="43"/>
      <c r="H98" s="45"/>
      <c r="I98" s="45"/>
      <c r="J98" s="45"/>
      <c r="K98" s="45"/>
      <c r="L98" s="45"/>
      <c r="M98" s="45"/>
      <c r="N98" s="45"/>
      <c r="O98" s="45"/>
      <c r="P98" s="45"/>
      <c r="Q98" s="45"/>
      <c r="R98" s="45"/>
      <c r="S98" s="45">
        <f>$F98/S$68</f>
        <v>13.574867914067037</v>
      </c>
      <c r="T98" s="47">
        <f>$F98/T$68</f>
        <v>11.218899102534744</v>
      </c>
      <c r="V98" s="43"/>
      <c r="W98" s="45"/>
      <c r="X98" s="45"/>
      <c r="Y98" s="45"/>
      <c r="Z98" s="45"/>
      <c r="AA98" s="45"/>
      <c r="AB98" s="45"/>
      <c r="AC98" s="45"/>
      <c r="AD98" s="45"/>
      <c r="AE98" s="45">
        <f t="shared" si="72"/>
        <v>14.1404874104865</v>
      </c>
      <c r="AF98" s="39">
        <f t="shared" si="72"/>
        <v>12.525829678493231</v>
      </c>
      <c r="AG98" s="39">
        <f t="shared" si="72"/>
        <v>11.172730793470814</v>
      </c>
      <c r="AH98" s="40">
        <f t="shared" si="72"/>
        <v>9.0499119427113595</v>
      </c>
      <c r="AI98" s="41">
        <f t="shared" si="72"/>
        <v>7.4792660683564964</v>
      </c>
      <c r="AK98" s="43"/>
      <c r="AL98" s="45"/>
      <c r="AM98" s="45"/>
      <c r="AN98" s="45"/>
      <c r="AO98" s="45"/>
      <c r="AP98" s="45"/>
      <c r="AQ98" s="45"/>
      <c r="AR98" s="45">
        <f t="shared" si="73"/>
        <v>13.851906034762287</v>
      </c>
      <c r="AS98" s="39">
        <f t="shared" si="73"/>
        <v>12.066549256948477</v>
      </c>
      <c r="AT98" s="47">
        <f>$F98/AT$68</f>
        <v>10.605365557864875</v>
      </c>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row>
    <row r="99" spans="3:74" s="46" customFormat="1" ht="15" customHeight="1" x14ac:dyDescent="0.25">
      <c r="C99" s="271"/>
      <c r="D99" s="272"/>
      <c r="E99" s="273"/>
      <c r="F99" s="37">
        <v>11.5</v>
      </c>
      <c r="G99" s="43"/>
      <c r="H99" s="45"/>
      <c r="I99" s="45"/>
      <c r="J99" s="45"/>
      <c r="K99" s="45"/>
      <c r="L99" s="45"/>
      <c r="M99" s="45"/>
      <c r="N99" s="45"/>
      <c r="O99" s="45"/>
      <c r="P99" s="45"/>
      <c r="Q99" s="45"/>
      <c r="R99" s="45"/>
      <c r="S99" s="45"/>
      <c r="T99" s="47">
        <f>$F99/T$68</f>
        <v>11.728849061740869</v>
      </c>
      <c r="V99" s="43"/>
      <c r="W99" s="45"/>
      <c r="X99" s="45"/>
      <c r="Y99" s="45"/>
      <c r="Z99" s="45"/>
      <c r="AA99" s="45"/>
      <c r="AB99" s="45"/>
      <c r="AC99" s="45"/>
      <c r="AD99" s="45"/>
      <c r="AE99" s="45"/>
      <c r="AF99" s="44">
        <f t="shared" ref="AF99:AI101" si="74">$F99/AF$68</f>
        <v>13.095185572970196</v>
      </c>
      <c r="AG99" s="39">
        <f t="shared" si="74"/>
        <v>11.680582193174033</v>
      </c>
      <c r="AH99" s="40">
        <f t="shared" si="74"/>
        <v>9.4612715764709652</v>
      </c>
      <c r="AI99" s="41">
        <f t="shared" si="74"/>
        <v>7.8192327078272461</v>
      </c>
      <c r="AK99" s="43"/>
      <c r="AL99" s="45"/>
      <c r="AM99" s="45"/>
      <c r="AN99" s="45"/>
      <c r="AO99" s="45"/>
      <c r="AP99" s="45"/>
      <c r="AQ99" s="45"/>
      <c r="AR99" s="45">
        <f t="shared" si="73"/>
        <v>14.481538127251481</v>
      </c>
      <c r="AS99" s="39">
        <f t="shared" si="73"/>
        <v>12.615028768627953</v>
      </c>
      <c r="AT99" s="47">
        <f>$F99/AT$68</f>
        <v>11.087427628676915</v>
      </c>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row>
    <row r="100" spans="3:74" s="46" customFormat="1" ht="15" customHeight="1" x14ac:dyDescent="0.25">
      <c r="C100" s="271"/>
      <c r="D100" s="272"/>
      <c r="E100" s="273"/>
      <c r="F100" s="37">
        <v>12</v>
      </c>
      <c r="G100" s="43"/>
      <c r="H100" s="45"/>
      <c r="I100" s="45"/>
      <c r="J100" s="45"/>
      <c r="K100" s="45"/>
      <c r="L100" s="45"/>
      <c r="M100" s="45"/>
      <c r="N100" s="45"/>
      <c r="O100" s="45"/>
      <c r="P100" s="45"/>
      <c r="Q100" s="45"/>
      <c r="R100" s="45"/>
      <c r="S100" s="45"/>
      <c r="T100" s="47">
        <f>$F100/T$68</f>
        <v>12.238799020946994</v>
      </c>
      <c r="V100" s="43"/>
      <c r="W100" s="45"/>
      <c r="X100" s="45"/>
      <c r="Y100" s="45"/>
      <c r="Z100" s="45"/>
      <c r="AA100" s="45"/>
      <c r="AB100" s="45"/>
      <c r="AC100" s="45"/>
      <c r="AD100" s="45"/>
      <c r="AE100" s="45"/>
      <c r="AF100" s="45">
        <f t="shared" si="74"/>
        <v>13.664541467447162</v>
      </c>
      <c r="AG100" s="39">
        <f t="shared" si="74"/>
        <v>12.188433592877251</v>
      </c>
      <c r="AH100" s="40">
        <f t="shared" si="74"/>
        <v>9.8726312102305727</v>
      </c>
      <c r="AI100" s="41">
        <f t="shared" si="74"/>
        <v>8.1591993472979958</v>
      </c>
      <c r="AK100" s="43"/>
      <c r="AL100" s="45"/>
      <c r="AM100" s="45"/>
      <c r="AN100" s="45"/>
      <c r="AO100" s="45"/>
      <c r="AP100" s="45"/>
      <c r="AQ100" s="45"/>
      <c r="AR100" s="45"/>
      <c r="AS100" s="44">
        <f>$F100/AS$68</f>
        <v>13.163508280307429</v>
      </c>
      <c r="AT100" s="47">
        <f>$F100/AT$68</f>
        <v>11.569489699488955</v>
      </c>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row>
    <row r="101" spans="3:74" s="46" customFormat="1" ht="15" customHeight="1" x14ac:dyDescent="0.25">
      <c r="C101" s="271"/>
      <c r="D101" s="272"/>
      <c r="E101" s="273"/>
      <c r="F101" s="37">
        <v>12.5</v>
      </c>
      <c r="G101" s="43"/>
      <c r="H101" s="45"/>
      <c r="I101" s="45"/>
      <c r="J101" s="45"/>
      <c r="K101" s="45"/>
      <c r="L101" s="45"/>
      <c r="M101" s="45"/>
      <c r="N101" s="45"/>
      <c r="O101" s="45"/>
      <c r="P101" s="45"/>
      <c r="Q101" s="45"/>
      <c r="R101" s="45"/>
      <c r="S101" s="45"/>
      <c r="T101" s="48">
        <f>$F101/T$68</f>
        <v>12.748748980153119</v>
      </c>
      <c r="V101" s="43"/>
      <c r="W101" s="45"/>
      <c r="X101" s="45"/>
      <c r="Y101" s="45"/>
      <c r="Z101" s="45"/>
      <c r="AA101" s="45"/>
      <c r="AB101" s="45"/>
      <c r="AC101" s="45"/>
      <c r="AD101" s="45"/>
      <c r="AE101" s="45"/>
      <c r="AF101" s="45">
        <f t="shared" si="74"/>
        <v>14.233897361924125</v>
      </c>
      <c r="AG101" s="39">
        <f t="shared" si="74"/>
        <v>12.69628499258047</v>
      </c>
      <c r="AH101" s="39">
        <f t="shared" si="74"/>
        <v>10.28399084399018</v>
      </c>
      <c r="AI101" s="41">
        <f t="shared" si="74"/>
        <v>8.4991659867687464</v>
      </c>
      <c r="AK101" s="43"/>
      <c r="AL101" s="45"/>
      <c r="AM101" s="45"/>
      <c r="AN101" s="45"/>
      <c r="AO101" s="45"/>
      <c r="AP101" s="45"/>
      <c r="AQ101" s="45"/>
      <c r="AR101" s="45"/>
      <c r="AS101" s="45">
        <f>$F101/AS$68</f>
        <v>13.711987791986905</v>
      </c>
      <c r="AT101" s="47">
        <f>$F101/AT$68</f>
        <v>12.051551770300994</v>
      </c>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row>
    <row r="102" spans="3:74" ht="15" customHeight="1" thickBot="1" x14ac:dyDescent="0.3">
      <c r="C102" s="274"/>
      <c r="D102" s="275"/>
      <c r="E102" s="276"/>
      <c r="F102" s="49">
        <v>13</v>
      </c>
      <c r="G102" s="50"/>
      <c r="H102" s="51"/>
      <c r="I102" s="51"/>
      <c r="J102" s="51"/>
      <c r="K102" s="51"/>
      <c r="L102" s="51"/>
      <c r="M102" s="51"/>
      <c r="N102" s="51"/>
      <c r="O102" s="51"/>
      <c r="P102" s="51"/>
      <c r="Q102" s="51"/>
      <c r="R102" s="51"/>
      <c r="S102" s="51"/>
      <c r="T102" s="52">
        <f>$F102/T$68</f>
        <v>13.258698939359244</v>
      </c>
      <c r="V102" s="50"/>
      <c r="W102" s="51"/>
      <c r="X102" s="51"/>
      <c r="Y102" s="51"/>
      <c r="Z102" s="51"/>
      <c r="AA102" s="51"/>
      <c r="AB102" s="51"/>
      <c r="AC102" s="51"/>
      <c r="AD102" s="51"/>
      <c r="AE102" s="51"/>
      <c r="AF102" s="51"/>
      <c r="AG102" s="109">
        <f>$F102/AG$68</f>
        <v>13.204136392283688</v>
      </c>
      <c r="AH102" s="53">
        <f>$F102/AH$68</f>
        <v>10.695350477749788</v>
      </c>
      <c r="AI102" s="110">
        <f>$F102/AI$68</f>
        <v>8.8391326262394951</v>
      </c>
      <c r="AK102" s="50"/>
      <c r="AL102" s="51"/>
      <c r="AM102" s="51"/>
      <c r="AN102" s="51"/>
      <c r="AO102" s="51"/>
      <c r="AP102" s="51"/>
      <c r="AQ102" s="51"/>
      <c r="AR102" s="51"/>
      <c r="AS102" s="51"/>
      <c r="AT102" s="149">
        <f>$F102/AT$68</f>
        <v>12.533613841113034</v>
      </c>
    </row>
    <row r="103" spans="3:74" ht="15" customHeight="1" x14ac:dyDescent="0.25">
      <c r="Z103" s="1"/>
      <c r="AA103" s="1"/>
      <c r="AB103" s="1"/>
      <c r="AC103" s="1"/>
      <c r="AN103" s="1"/>
      <c r="AO103" s="1"/>
      <c r="AP103" s="1"/>
    </row>
    <row r="104" spans="3:74" s="3" customFormat="1" ht="15" customHeight="1" x14ac:dyDescent="0.25">
      <c r="K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row>
    <row r="105" spans="3:74" s="3" customFormat="1" ht="15" customHeight="1" x14ac:dyDescent="0.25">
      <c r="K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row>
    <row r="106" spans="3:74" ht="15" customHeight="1" x14ac:dyDescent="0.25"/>
    <row r="107" spans="3:74" ht="15" customHeight="1" x14ac:dyDescent="0.25"/>
    <row r="108" spans="3:74" ht="15" customHeight="1" x14ac:dyDescent="0.25"/>
    <row r="109" spans="3:74" ht="15" customHeight="1" x14ac:dyDescent="0.25"/>
    <row r="110" spans="3:74" ht="15" customHeight="1" x14ac:dyDescent="0.25"/>
    <row r="111" spans="3:74" ht="15" customHeight="1" x14ac:dyDescent="0.25"/>
    <row r="112" spans="3:74"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sheetData>
  <mergeCells count="275">
    <mergeCell ref="C2:T3"/>
    <mergeCell ref="Q30:AA30"/>
    <mergeCell ref="C17:T17"/>
    <mergeCell ref="AE15:AE16"/>
    <mergeCell ref="AF15:AF16"/>
    <mergeCell ref="AG15:AG16"/>
    <mergeCell ref="AH15:AH16"/>
    <mergeCell ref="AI15:AI16"/>
    <mergeCell ref="AE5:AT5"/>
    <mergeCell ref="V15:AA16"/>
    <mergeCell ref="AB15:AB16"/>
    <mergeCell ref="AC15:AC16"/>
    <mergeCell ref="C15:T16"/>
    <mergeCell ref="C14:T14"/>
    <mergeCell ref="C6:T6"/>
    <mergeCell ref="C7:T7"/>
    <mergeCell ref="C8:T8"/>
    <mergeCell ref="C10:T10"/>
    <mergeCell ref="C11:T11"/>
    <mergeCell ref="C12:T12"/>
    <mergeCell ref="C5:T5"/>
    <mergeCell ref="C9:Q9"/>
    <mergeCell ref="R9:S9"/>
    <mergeCell ref="AJ15:AJ16"/>
    <mergeCell ref="AK15:AK16"/>
    <mergeCell ref="AL15:AL16"/>
    <mergeCell ref="AM15:AM16"/>
    <mergeCell ref="AN15:AN16"/>
    <mergeCell ref="AO15:AO16"/>
    <mergeCell ref="AP15:AP16"/>
    <mergeCell ref="AQ15:AQ16"/>
    <mergeCell ref="AR15:AR16"/>
    <mergeCell ref="AM27:AN27"/>
    <mergeCell ref="AO27:AP27"/>
    <mergeCell ref="AQ27:AR27"/>
    <mergeCell ref="AS27:AT27"/>
    <mergeCell ref="AM18:AN18"/>
    <mergeCell ref="AO18:AP18"/>
    <mergeCell ref="AM25:AN25"/>
    <mergeCell ref="AO25:AP25"/>
    <mergeCell ref="AQ25:AR25"/>
    <mergeCell ref="AS25:AT25"/>
    <mergeCell ref="AM23:AN23"/>
    <mergeCell ref="AO23:AP23"/>
    <mergeCell ref="AQ23:AR23"/>
    <mergeCell ref="AS23:AT23"/>
    <mergeCell ref="AM24:AN24"/>
    <mergeCell ref="AO24:AP24"/>
    <mergeCell ref="AQ24:AR24"/>
    <mergeCell ref="AS24:AT24"/>
    <mergeCell ref="AM26:AN26"/>
    <mergeCell ref="AO26:AP26"/>
    <mergeCell ref="AQ26:AR26"/>
    <mergeCell ref="AS26:AT26"/>
    <mergeCell ref="AM12:AN12"/>
    <mergeCell ref="AO12:AP12"/>
    <mergeCell ref="AQ12:AR12"/>
    <mergeCell ref="AS12:AT12"/>
    <mergeCell ref="AM20:AN20"/>
    <mergeCell ref="AO20:AP20"/>
    <mergeCell ref="AQ20:AR20"/>
    <mergeCell ref="AS20:AT20"/>
    <mergeCell ref="AS15:AS16"/>
    <mergeCell ref="AT15:AT16"/>
    <mergeCell ref="AM17:AN17"/>
    <mergeCell ref="AO17:AP17"/>
    <mergeCell ref="AQ18:AR18"/>
    <mergeCell ref="AS18:AT18"/>
    <mergeCell ref="AQ17:AR17"/>
    <mergeCell ref="AS17:AT17"/>
    <mergeCell ref="AM9:AN9"/>
    <mergeCell ref="AO9:AP9"/>
    <mergeCell ref="AQ9:AR9"/>
    <mergeCell ref="AS9:AT9"/>
    <mergeCell ref="AM10:AN10"/>
    <mergeCell ref="AO10:AP10"/>
    <mergeCell ref="AQ10:AR10"/>
    <mergeCell ref="AS10:AT10"/>
    <mergeCell ref="AM11:AN11"/>
    <mergeCell ref="AO11:AP11"/>
    <mergeCell ref="AQ11:AR11"/>
    <mergeCell ref="AS11:AT11"/>
    <mergeCell ref="AM6:AN6"/>
    <mergeCell ref="AO6:AP6"/>
    <mergeCell ref="AQ6:AR6"/>
    <mergeCell ref="AS6:AT6"/>
    <mergeCell ref="AM7:AN7"/>
    <mergeCell ref="AO7:AP7"/>
    <mergeCell ref="AQ7:AR7"/>
    <mergeCell ref="AS7:AT7"/>
    <mergeCell ref="AM8:AN8"/>
    <mergeCell ref="AO8:AP8"/>
    <mergeCell ref="AQ8:AR8"/>
    <mergeCell ref="AS8:AT8"/>
    <mergeCell ref="AE26:AF26"/>
    <mergeCell ref="AG26:AH26"/>
    <mergeCell ref="AI26:AJ26"/>
    <mergeCell ref="AK26:AL26"/>
    <mergeCell ref="AE27:AF27"/>
    <mergeCell ref="AG27:AH27"/>
    <mergeCell ref="AI27:AJ27"/>
    <mergeCell ref="AK27:AL27"/>
    <mergeCell ref="AE18:AF18"/>
    <mergeCell ref="AG18:AH18"/>
    <mergeCell ref="AI18:AJ18"/>
    <mergeCell ref="AK18:AL18"/>
    <mergeCell ref="AE23:AF23"/>
    <mergeCell ref="AG23:AH23"/>
    <mergeCell ref="AI23:AJ23"/>
    <mergeCell ref="AK23:AL23"/>
    <mergeCell ref="AE24:AF24"/>
    <mergeCell ref="AG24:AH24"/>
    <mergeCell ref="AI24:AJ24"/>
    <mergeCell ref="AK24:AL24"/>
    <mergeCell ref="AE25:AF25"/>
    <mergeCell ref="AG25:AH25"/>
    <mergeCell ref="AI25:AJ25"/>
    <mergeCell ref="AK25:AL25"/>
    <mergeCell ref="AE12:AF12"/>
    <mergeCell ref="AG12:AH12"/>
    <mergeCell ref="AI12:AJ12"/>
    <mergeCell ref="AK12:AL12"/>
    <mergeCell ref="AE20:AF20"/>
    <mergeCell ref="AG20:AH20"/>
    <mergeCell ref="AI20:AJ20"/>
    <mergeCell ref="AK20:AL20"/>
    <mergeCell ref="AE9:AF9"/>
    <mergeCell ref="AG9:AH9"/>
    <mergeCell ref="AI9:AJ9"/>
    <mergeCell ref="AK9:AL9"/>
    <mergeCell ref="AE10:AF10"/>
    <mergeCell ref="AG10:AH10"/>
    <mergeCell ref="AI10:AJ10"/>
    <mergeCell ref="AK10:AL10"/>
    <mergeCell ref="AE11:AF11"/>
    <mergeCell ref="AG11:AH11"/>
    <mergeCell ref="AI11:AJ11"/>
    <mergeCell ref="AK11:AL11"/>
    <mergeCell ref="AE17:AF17"/>
    <mergeCell ref="AG17:AH17"/>
    <mergeCell ref="AI17:AJ17"/>
    <mergeCell ref="AK17:AL17"/>
    <mergeCell ref="J27:P27"/>
    <mergeCell ref="J25:P25"/>
    <mergeCell ref="J24:P24"/>
    <mergeCell ref="S19:T19"/>
    <mergeCell ref="Z20:AA20"/>
    <mergeCell ref="Z23:AA23"/>
    <mergeCell ref="Q21:R21"/>
    <mergeCell ref="J23:P23"/>
    <mergeCell ref="J22:P22"/>
    <mergeCell ref="AB23:AC23"/>
    <mergeCell ref="AB24:AC24"/>
    <mergeCell ref="AB25:AC25"/>
    <mergeCell ref="AB26:AC26"/>
    <mergeCell ref="AB27:AC27"/>
    <mergeCell ref="S20:T20"/>
    <mergeCell ref="S23:T23"/>
    <mergeCell ref="S24:T24"/>
    <mergeCell ref="S25:T25"/>
    <mergeCell ref="S26:T26"/>
    <mergeCell ref="V21:Y22"/>
    <mergeCell ref="Z24:AA24"/>
    <mergeCell ref="Z25:AA25"/>
    <mergeCell ref="Z26:AA26"/>
    <mergeCell ref="Z27:AA27"/>
    <mergeCell ref="V24:Y24"/>
    <mergeCell ref="V25:Y25"/>
    <mergeCell ref="V26:Y26"/>
    <mergeCell ref="V27:Y27"/>
    <mergeCell ref="AB11:AC11"/>
    <mergeCell ref="AB12:AC12"/>
    <mergeCell ref="V12:AA12"/>
    <mergeCell ref="AB6:AC6"/>
    <mergeCell ref="AB7:AC7"/>
    <mergeCell ref="AB8:AC8"/>
    <mergeCell ref="E20:R20"/>
    <mergeCell ref="E19:R19"/>
    <mergeCell ref="V17:AA17"/>
    <mergeCell ref="V18:AA18"/>
    <mergeCell ref="AB18:AC18"/>
    <mergeCell ref="V5:AC5"/>
    <mergeCell ref="AE6:AF6"/>
    <mergeCell ref="AG6:AH6"/>
    <mergeCell ref="AI6:AJ6"/>
    <mergeCell ref="AK6:AL6"/>
    <mergeCell ref="AE7:AF7"/>
    <mergeCell ref="AG7:AH7"/>
    <mergeCell ref="AI7:AJ7"/>
    <mergeCell ref="AK7:AL7"/>
    <mergeCell ref="AE8:AF8"/>
    <mergeCell ref="AG8:AH8"/>
    <mergeCell ref="AI8:AJ8"/>
    <mergeCell ref="AK8:AL8"/>
    <mergeCell ref="L32:M32"/>
    <mergeCell ref="L33:M33"/>
    <mergeCell ref="L34:M34"/>
    <mergeCell ref="S27:T27"/>
    <mergeCell ref="C19:D27"/>
    <mergeCell ref="Q27:R27"/>
    <mergeCell ref="Q25:R25"/>
    <mergeCell ref="J21:P21"/>
    <mergeCell ref="E21:I27"/>
    <mergeCell ref="Q22:R22"/>
    <mergeCell ref="Q23:R23"/>
    <mergeCell ref="C32:J34"/>
    <mergeCell ref="AB20:AC20"/>
    <mergeCell ref="V23:Y23"/>
    <mergeCell ref="V14:AA14"/>
    <mergeCell ref="V20:Y20"/>
    <mergeCell ref="AB17:AC17"/>
    <mergeCell ref="Q24:R24"/>
    <mergeCell ref="AB9:AC9"/>
    <mergeCell ref="AB10:AC10"/>
    <mergeCell ref="C76:F76"/>
    <mergeCell ref="C77:F77"/>
    <mergeCell ref="C78:E102"/>
    <mergeCell ref="L63:M63"/>
    <mergeCell ref="L42:M42"/>
    <mergeCell ref="AE63:AF63"/>
    <mergeCell ref="AE50:AF50"/>
    <mergeCell ref="AG50:AT50"/>
    <mergeCell ref="AE51:AT53"/>
    <mergeCell ref="AG63:AT63"/>
    <mergeCell ref="AE42:AF43"/>
    <mergeCell ref="AE55:AF56"/>
    <mergeCell ref="AE54:AF54"/>
    <mergeCell ref="E46:J47"/>
    <mergeCell ref="E49:J50"/>
    <mergeCell ref="C46:D47"/>
    <mergeCell ref="C49:D50"/>
    <mergeCell ref="C67:F68"/>
    <mergeCell ref="C71:F71"/>
    <mergeCell ref="C73:F73"/>
    <mergeCell ref="C72:F72"/>
    <mergeCell ref="L57:M57"/>
    <mergeCell ref="L58:M58"/>
    <mergeCell ref="L59:M59"/>
    <mergeCell ref="C36:J38"/>
    <mergeCell ref="N36:P38"/>
    <mergeCell ref="C60:J63"/>
    <mergeCell ref="N32:P34"/>
    <mergeCell ref="R32:V34"/>
    <mergeCell ref="U42:V47"/>
    <mergeCell ref="U49:V54"/>
    <mergeCell ref="N41:T41"/>
    <mergeCell ref="C54:J59"/>
    <mergeCell ref="C52:J53"/>
    <mergeCell ref="R36:V38"/>
    <mergeCell ref="L49:M49"/>
    <mergeCell ref="L50:M50"/>
    <mergeCell ref="L51:M51"/>
    <mergeCell ref="L52:M52"/>
    <mergeCell ref="L53:M53"/>
    <mergeCell ref="C42:J44"/>
    <mergeCell ref="L60:M60"/>
    <mergeCell ref="U56:V61"/>
    <mergeCell ref="U63:V63"/>
    <mergeCell ref="L54:M54"/>
    <mergeCell ref="L56:M56"/>
    <mergeCell ref="L61:M61"/>
    <mergeCell ref="X36:AC38"/>
    <mergeCell ref="AE33:AE37"/>
    <mergeCell ref="AE41:AF41"/>
    <mergeCell ref="L45:M45"/>
    <mergeCell ref="L46:M46"/>
    <mergeCell ref="L47:M47"/>
    <mergeCell ref="L41:M41"/>
    <mergeCell ref="L36:M36"/>
    <mergeCell ref="L37:M37"/>
    <mergeCell ref="L38:M38"/>
    <mergeCell ref="L43:M43"/>
    <mergeCell ref="L44:M44"/>
    <mergeCell ref="X32:AC34"/>
    <mergeCell ref="W41:AC41"/>
  </mergeCells>
  <conditionalFormatting sqref="O29">
    <cfRule type="colorScale" priority="34">
      <colorScale>
        <cfvo type="num" val="29"/>
        <cfvo type="num" val="31"/>
        <cfvo type="num" val="40"/>
        <color rgb="FF00FF00"/>
        <color rgb="FFFFFF00"/>
        <color rgb="FFFF0000"/>
      </colorScale>
    </cfRule>
  </conditionalFormatting>
  <conditionalFormatting sqref="Z23:AA23">
    <cfRule type="colorScale" priority="32">
      <colorScale>
        <cfvo type="num" val="120"/>
        <cfvo type="num" val="150"/>
        <cfvo type="num" val="180"/>
        <color rgb="FF00FF00"/>
        <color rgb="FFFFFF00"/>
        <color rgb="FFFF0000"/>
      </colorScale>
    </cfRule>
  </conditionalFormatting>
  <conditionalFormatting sqref="S23">
    <cfRule type="colorScale" priority="30">
      <colorScale>
        <cfvo type="num" val="120"/>
        <cfvo type="num" val="150"/>
        <cfvo type="num" val="180"/>
        <color rgb="FF00FF00"/>
        <color rgb="FFFFFF00"/>
        <color rgb="FFFF0000"/>
      </colorScale>
    </cfRule>
  </conditionalFormatting>
  <conditionalFormatting sqref="AB23:AC23">
    <cfRule type="colorScale" priority="29">
      <colorScale>
        <cfvo type="num" val="120"/>
        <cfvo type="num" val="150"/>
        <cfvo type="num" val="180"/>
        <color rgb="FF00FF00"/>
        <color rgb="FFFFFF00"/>
        <color rgb="FFFF0000"/>
      </colorScale>
    </cfRule>
  </conditionalFormatting>
  <conditionalFormatting sqref="AE23:AF23">
    <cfRule type="colorScale" priority="24">
      <colorScale>
        <cfvo type="num" val="120"/>
        <cfvo type="num" val="150"/>
        <cfvo type="num" val="180"/>
        <color rgb="FF00FF00"/>
        <color rgb="FFFFFF00"/>
        <color rgb="FFFF0000"/>
      </colorScale>
    </cfRule>
  </conditionalFormatting>
  <conditionalFormatting sqref="AG23:AH23">
    <cfRule type="colorScale" priority="23">
      <colorScale>
        <cfvo type="num" val="120"/>
        <cfvo type="num" val="150"/>
        <cfvo type="num" val="180"/>
        <color rgb="FF00FF00"/>
        <color rgb="FFFFFF00"/>
        <color rgb="FFFF0000"/>
      </colorScale>
    </cfRule>
  </conditionalFormatting>
  <conditionalFormatting sqref="AI23:AJ23">
    <cfRule type="colorScale" priority="22">
      <colorScale>
        <cfvo type="num" val="120"/>
        <cfvo type="num" val="150"/>
        <cfvo type="num" val="180"/>
        <color rgb="FF00FF00"/>
        <color rgb="FFFFFF00"/>
        <color rgb="FFFF0000"/>
      </colorScale>
    </cfRule>
  </conditionalFormatting>
  <conditionalFormatting sqref="AK23:AL23">
    <cfRule type="colorScale" priority="21">
      <colorScale>
        <cfvo type="num" val="120"/>
        <cfvo type="num" val="150"/>
        <cfvo type="num" val="180"/>
        <color rgb="FF00FF00"/>
        <color rgb="FFFFFF00"/>
        <color rgb="FFFF0000"/>
      </colorScale>
    </cfRule>
  </conditionalFormatting>
  <conditionalFormatting sqref="AM23:AN23">
    <cfRule type="colorScale" priority="20">
      <colorScale>
        <cfvo type="num" val="120"/>
        <cfvo type="num" val="150"/>
        <cfvo type="num" val="180"/>
        <color rgb="FF00FF00"/>
        <color rgb="FFFFFF00"/>
        <color rgb="FFFF0000"/>
      </colorScale>
    </cfRule>
  </conditionalFormatting>
  <conditionalFormatting sqref="AO23:AP23">
    <cfRule type="colorScale" priority="19">
      <colorScale>
        <cfvo type="num" val="120"/>
        <cfvo type="num" val="150"/>
        <cfvo type="num" val="180"/>
        <color rgb="FF00FF00"/>
        <color rgb="FFFFFF00"/>
        <color rgb="FFFF0000"/>
      </colorScale>
    </cfRule>
  </conditionalFormatting>
  <conditionalFormatting sqref="AQ23:AR23">
    <cfRule type="colorScale" priority="18">
      <colorScale>
        <cfvo type="num" val="120"/>
        <cfvo type="num" val="150"/>
        <cfvo type="num" val="180"/>
        <color rgb="FF00FF00"/>
        <color rgb="FFFFFF00"/>
        <color rgb="FFFF0000"/>
      </colorScale>
    </cfRule>
  </conditionalFormatting>
  <conditionalFormatting sqref="AS23:AT23">
    <cfRule type="colorScale" priority="17">
      <colorScale>
        <cfvo type="num" val="120"/>
        <cfvo type="num" val="150"/>
        <cfvo type="num" val="180"/>
        <color rgb="FF00FF00"/>
        <color rgb="FFFFFF00"/>
        <color rgb="FFFF0000"/>
      </colorScale>
    </cfRule>
  </conditionalFormatting>
  <printOptions horizontalCentered="1" verticalCentered="1"/>
  <pageMargins left="0.70866141732283472" right="0.70866141732283472" top="0" bottom="0" header="0" footer="0"/>
  <pageSetup paperSize="9" scale="40" orientation="landscape" r:id="rId1"/>
  <ignoredErrors>
    <ignoredError sqref="AQ22 AS22 AF14 AH14 AJ14 AL14 AN14 AP14 AR14" formula="1"/>
    <ignoredError sqref="U19:U27 AE13:AT13 AE14:AE16 AH16:AI16 AT16 AT15 AE23:AR26 AE22 AE19:AT21 AI9:AJ9 AJ10 AI8:AJ8 AI6:AJ6 AI7:AJ7 AI11:AJ11 AI12:AJ12" unlockedFormula="1"/>
    <ignoredError sqref="AF15:AF16 AG14:AG16 AH15:AI15 AJ15 AJ16 AL15 AL16 AK15 AK16 AK14 AM15 AM16 AM14 AN15 AN16 AO15 AO16 AO14 AQ15 AQ16 AQ14 AR15 AR16 AS15 AS16 AS14 AF22:AP22 AT22 AR22 AP15 AP16 AI14" formula="1" unlockedFormula="1"/>
  </ignoredErrors>
  <drawing r:id="rId2"/>
  <extLst>
    <ext xmlns:x14="http://schemas.microsoft.com/office/spreadsheetml/2009/9/main" uri="{78C0D931-6437-407d-A8EE-F0AAD7539E65}">
      <x14:conditionalFormattings>
        <x14:conditionalFormatting xmlns:xm="http://schemas.microsoft.com/office/excel/2006/main">
          <x14:cfRule type="iconSet" priority="37" id="{B7E6822E-B442-4640-BD61-86C179B0E108}">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AC15</xm:sqref>
        </x14:conditionalFormatting>
        <x14:conditionalFormatting xmlns:xm="http://schemas.microsoft.com/office/excel/2006/main">
          <x14:cfRule type="iconSet" priority="35" id="{D7D443A4-2BAB-456F-A6C5-CF8DEDC3CAEC}">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AC14</xm:sqref>
        </x14:conditionalFormatting>
        <x14:conditionalFormatting xmlns:xm="http://schemas.microsoft.com/office/excel/2006/main">
          <x14:cfRule type="iconSet" priority="25" id="{59F09DED-AA30-4260-BE29-C4CBDAB19A6F}">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AF15</xm:sqref>
        </x14:conditionalFormatting>
        <x14:conditionalFormatting xmlns:xm="http://schemas.microsoft.com/office/excel/2006/main">
          <x14:cfRule type="iconSet" priority="15" id="{9DB5CF3A-0B39-4064-9C8B-9BDAE12F23C0}">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AH15 AJ15 AL15 AN15 AR15 AT15</xm:sqref>
        </x14:conditionalFormatting>
        <x14:conditionalFormatting xmlns:xm="http://schemas.microsoft.com/office/excel/2006/main">
          <x14:cfRule type="iconSet" priority="13" id="{C967BBA9-E72F-4BFD-B0C8-E61B3668B9CA}">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AP15</xm:sqref>
        </x14:conditionalFormatting>
        <x14:conditionalFormatting xmlns:xm="http://schemas.microsoft.com/office/excel/2006/main">
          <x14:cfRule type="iconSet" priority="8" id="{D1162DC6-8E04-48F5-BE27-570FBD0344C8}">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AJ14</xm:sqref>
        </x14:conditionalFormatting>
        <x14:conditionalFormatting xmlns:xm="http://schemas.microsoft.com/office/excel/2006/main">
          <x14:cfRule type="iconSet" priority="7" id="{C5F0F28C-79D8-4634-8799-A86B6C499DC9}">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AL14</xm:sqref>
        </x14:conditionalFormatting>
        <x14:conditionalFormatting xmlns:xm="http://schemas.microsoft.com/office/excel/2006/main">
          <x14:cfRule type="iconSet" priority="6" id="{8D2803CC-1B64-484E-8338-CB81932AC256}">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AF14</xm:sqref>
        </x14:conditionalFormatting>
        <x14:conditionalFormatting xmlns:xm="http://schemas.microsoft.com/office/excel/2006/main">
          <x14:cfRule type="iconSet" priority="5" id="{2DCDF903-0512-4525-9080-C85A0D053F49}">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AH14</xm:sqref>
        </x14:conditionalFormatting>
        <x14:conditionalFormatting xmlns:xm="http://schemas.microsoft.com/office/excel/2006/main">
          <x14:cfRule type="iconSet" priority="4" id="{8790DB30-0E2D-42DF-BC27-31F0500EC8BA}">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AN14</xm:sqref>
        </x14:conditionalFormatting>
        <x14:conditionalFormatting xmlns:xm="http://schemas.microsoft.com/office/excel/2006/main">
          <x14:cfRule type="iconSet" priority="3" id="{58576D0A-27AF-4112-A5DF-38BDC25FA0D4}">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AP14</xm:sqref>
        </x14:conditionalFormatting>
        <x14:conditionalFormatting xmlns:xm="http://schemas.microsoft.com/office/excel/2006/main">
          <x14:cfRule type="iconSet" priority="2" id="{11DEC814-A274-4B63-A3DD-508A1F978AC8}">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AR14</xm:sqref>
        </x14:conditionalFormatting>
        <x14:conditionalFormatting xmlns:xm="http://schemas.microsoft.com/office/excel/2006/main">
          <x14:cfRule type="iconSet" priority="1" id="{5F819E55-8E3C-46C5-89C8-46CCF997679A}">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AT14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opLeftCell="A19" workbookViewId="0">
      <selection sqref="A1:G1"/>
    </sheetView>
  </sheetViews>
  <sheetFormatPr defaultRowHeight="15" x14ac:dyDescent="0.25"/>
  <cols>
    <col min="1" max="1" width="5" customWidth="1"/>
    <col min="3" max="3" width="125.5703125" customWidth="1"/>
  </cols>
  <sheetData>
    <row r="1" spans="1:7" x14ac:dyDescent="0.25">
      <c r="A1" s="428" t="s">
        <v>113</v>
      </c>
      <c r="B1" s="428"/>
      <c r="C1" s="428"/>
      <c r="D1" s="428"/>
      <c r="E1" s="428"/>
      <c r="F1" s="428"/>
      <c r="G1" s="428"/>
    </row>
    <row r="2" spans="1:7" x14ac:dyDescent="0.25">
      <c r="C2" t="s">
        <v>99</v>
      </c>
    </row>
    <row r="3" spans="1:7" x14ac:dyDescent="0.25">
      <c r="B3" t="s">
        <v>95</v>
      </c>
      <c r="C3" t="s">
        <v>97</v>
      </c>
    </row>
    <row r="4" spans="1:7" x14ac:dyDescent="0.25">
      <c r="B4" t="s">
        <v>96</v>
      </c>
      <c r="C4" t="s">
        <v>98</v>
      </c>
    </row>
    <row r="5" spans="1:7" x14ac:dyDescent="0.25">
      <c r="B5" t="s">
        <v>101</v>
      </c>
      <c r="C5" t="s">
        <v>102</v>
      </c>
    </row>
    <row r="6" spans="1:7" x14ac:dyDescent="0.25">
      <c r="B6" t="s">
        <v>106</v>
      </c>
      <c r="C6" t="s">
        <v>112</v>
      </c>
    </row>
    <row r="7" spans="1:7" x14ac:dyDescent="0.25">
      <c r="C7" t="s">
        <v>107</v>
      </c>
    </row>
    <row r="8" spans="1:7" x14ac:dyDescent="0.25">
      <c r="B8" t="s">
        <v>109</v>
      </c>
      <c r="C8" t="s">
        <v>110</v>
      </c>
    </row>
    <row r="9" spans="1:7" x14ac:dyDescent="0.25">
      <c r="C9" t="s">
        <v>111</v>
      </c>
    </row>
  </sheetData>
  <mergeCells count="1">
    <mergeCell ref="A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Calculation</vt:lpstr>
      <vt:lpstr>History</vt:lpstr>
      <vt:lpstr>Foglio3</vt:lpstr>
      <vt:lpstr>Foglio1</vt:lpstr>
    </vt:vector>
  </TitlesOfParts>
  <Company>FIATGROUP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Giuseppe Buonocore</cp:lastModifiedBy>
  <cp:lastPrinted>2014-01-11T12:37:26Z</cp:lastPrinted>
  <dcterms:created xsi:type="dcterms:W3CDTF">2013-12-27T16:22:58Z</dcterms:created>
  <dcterms:modified xsi:type="dcterms:W3CDTF">2015-01-10T19:42:17Z</dcterms:modified>
</cp:coreProperties>
</file>